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ransparência\COLETA DE DADOS\DANIEL GEOF\2025\"/>
    </mc:Choice>
  </mc:AlternateContent>
  <xr:revisionPtr revIDLastSave="0" documentId="13_ncr:1_{3FCD58AA-99CF-4B80-BD74-9EA4E00E5EAA}" xr6:coauthVersionLast="36" xr6:coauthVersionMax="36" xr10:uidLastSave="{00000000-0000-0000-0000-000000000000}"/>
  <bookViews>
    <workbookView xWindow="240" yWindow="75" windowWidth="15990" windowHeight="7935" tabRatio="594" xr2:uid="{00000000-000D-0000-FFFF-FFFF00000000}"/>
  </bookViews>
  <sheets>
    <sheet name="EMPENHOS" sheetId="1" r:id="rId1"/>
    <sheet name="Planilha2" sheetId="3" r:id="rId2"/>
  </sheets>
  <definedNames>
    <definedName name="_xlnm._FilterDatabase" localSheetId="0" hidden="1">EMPENHOS!$A$7:$AN$458</definedName>
    <definedName name="_xlnm.Print_Titles" localSheetId="0">EMPENHOS!$1:$7</definedName>
  </definedNames>
  <calcPr calcId="191029"/>
</workbook>
</file>

<file path=xl/calcChain.xml><?xml version="1.0" encoding="utf-8"?>
<calcChain xmlns="http://schemas.openxmlformats.org/spreadsheetml/2006/main">
  <c r="Z41" i="1" l="1"/>
  <c r="AD41" i="1"/>
  <c r="AC41" i="1"/>
  <c r="AA39" i="1" l="1"/>
  <c r="Z39" i="1"/>
  <c r="X39" i="1"/>
  <c r="V39" i="1"/>
  <c r="AD39" i="1"/>
  <c r="W39" i="1"/>
  <c r="U39" i="1"/>
  <c r="AB39" i="1"/>
  <c r="AC38" i="1"/>
  <c r="Y38" i="1"/>
  <c r="X38" i="1"/>
  <c r="V38" i="1"/>
  <c r="U38" i="1"/>
  <c r="AA38" i="1"/>
  <c r="AE21" i="1" l="1"/>
  <c r="AD17" i="1"/>
  <c r="R17" i="1"/>
  <c r="AD16" i="1"/>
  <c r="AE16" i="1"/>
  <c r="R34" i="1"/>
  <c r="AD32" i="1"/>
  <c r="AE31" i="1"/>
  <c r="AD31" i="1"/>
  <c r="AE30" i="1"/>
  <c r="AD30" i="1"/>
  <c r="Q24" i="1" l="1"/>
  <c r="AC24" i="1"/>
  <c r="AC25" i="1"/>
  <c r="AC17" i="1"/>
  <c r="Q17" i="1"/>
  <c r="AD440" i="1" l="1"/>
  <c r="R440" i="1"/>
  <c r="AC51" i="1" l="1"/>
  <c r="AB51" i="1"/>
  <c r="AA51" i="1"/>
  <c r="Z51" i="1"/>
  <c r="Y51" i="1"/>
  <c r="X51" i="1"/>
  <c r="W51" i="1"/>
  <c r="V51" i="1"/>
  <c r="U51" i="1"/>
  <c r="F40" i="3"/>
  <c r="D45" i="3"/>
  <c r="C46" i="3"/>
  <c r="B47" i="3"/>
  <c r="A49" i="3"/>
  <c r="E24" i="3"/>
  <c r="D23" i="3"/>
  <c r="C21" i="3"/>
  <c r="B21" i="3"/>
  <c r="A21" i="3"/>
  <c r="AD51" i="1"/>
  <c r="Z36" i="1"/>
  <c r="W36" i="1"/>
  <c r="AB36" i="1"/>
  <c r="X36" i="1"/>
  <c r="AA36" i="1"/>
  <c r="AC36" i="1"/>
  <c r="Y36" i="1"/>
  <c r="V36" i="1"/>
  <c r="U36" i="1"/>
  <c r="AD36" i="1"/>
  <c r="Q36" i="1"/>
  <c r="P36" i="1"/>
  <c r="O36" i="1"/>
  <c r="N36" i="1"/>
  <c r="M36" i="1"/>
  <c r="L36" i="1"/>
  <c r="K36" i="1"/>
  <c r="J36" i="1"/>
  <c r="I36" i="1"/>
  <c r="Y35" i="1" l="1"/>
  <c r="X35" i="1"/>
  <c r="AC35" i="1"/>
  <c r="AA35" i="1"/>
  <c r="W35" i="1"/>
  <c r="V35" i="1"/>
  <c r="Z35" i="1"/>
  <c r="AB35" i="1"/>
  <c r="U35" i="1"/>
  <c r="Q35" i="1"/>
  <c r="P35" i="1"/>
  <c r="O35" i="1"/>
  <c r="N35" i="1"/>
  <c r="M35" i="1"/>
  <c r="L35" i="1"/>
  <c r="K35" i="1"/>
  <c r="J35" i="1"/>
  <c r="I35" i="1"/>
  <c r="AC34" i="1"/>
  <c r="AB34" i="1"/>
  <c r="AA34" i="1"/>
  <c r="Z34" i="1"/>
  <c r="W34" i="1"/>
  <c r="X34" i="1"/>
  <c r="U34" i="1"/>
  <c r="Y34" i="1"/>
  <c r="V34" i="1"/>
  <c r="AD34" i="1"/>
  <c r="Q34" i="1" l="1"/>
  <c r="P34" i="1"/>
  <c r="O34" i="1"/>
  <c r="N34" i="1"/>
  <c r="M34" i="1"/>
  <c r="L34" i="1"/>
  <c r="I37" i="1"/>
  <c r="AC416" i="1" l="1"/>
  <c r="AC413" i="1"/>
  <c r="Q413" i="1"/>
  <c r="AB376" i="1"/>
  <c r="AC355" i="1"/>
  <c r="Q355" i="1"/>
  <c r="AD353" i="1"/>
  <c r="AC353" i="1"/>
  <c r="AB353" i="1"/>
  <c r="AA353" i="1"/>
  <c r="AB314" i="1"/>
  <c r="Y314" i="1"/>
  <c r="P314" i="1"/>
  <c r="M314" i="1"/>
  <c r="AB309" i="1"/>
  <c r="Z309" i="1"/>
  <c r="N309" i="1"/>
  <c r="Z136" i="1"/>
  <c r="N136" i="1"/>
  <c r="W131" i="1" l="1"/>
  <c r="Y123" i="1"/>
  <c r="W123" i="1"/>
  <c r="V123" i="1"/>
  <c r="Z123" i="1"/>
  <c r="M123" i="1"/>
  <c r="AA110" i="1"/>
  <c r="O110" i="1"/>
  <c r="Q109" i="1"/>
  <c r="N109" i="1"/>
  <c r="L109" i="1"/>
  <c r="Q108" i="1"/>
  <c r="N108" i="1"/>
  <c r="Z107" i="1"/>
  <c r="Y107" i="1"/>
  <c r="M107" i="1"/>
  <c r="N106" i="1"/>
  <c r="L106" i="1"/>
  <c r="Q105" i="1"/>
  <c r="N105" i="1"/>
  <c r="AC104" i="1"/>
  <c r="X104" i="1"/>
  <c r="Q104" i="1"/>
  <c r="X103" i="1"/>
  <c r="L103" i="1"/>
  <c r="AA101" i="1"/>
  <c r="O101" i="1"/>
  <c r="AC96" i="1" l="1"/>
  <c r="AA96" i="1"/>
  <c r="Z96" i="1"/>
  <c r="Y96" i="1"/>
  <c r="X96" i="1"/>
  <c r="Q96" i="1"/>
  <c r="J96" i="1"/>
  <c r="AC95" i="1"/>
  <c r="AA95" i="1"/>
  <c r="Z95" i="1"/>
  <c r="Y95" i="1"/>
  <c r="X95" i="1"/>
  <c r="W95" i="1"/>
  <c r="V95" i="1"/>
  <c r="Q95" i="1"/>
  <c r="J95" i="1"/>
  <c r="AB92" i="1"/>
  <c r="W92" i="1"/>
  <c r="P92" i="1"/>
  <c r="K92" i="1"/>
  <c r="AC89" i="1"/>
  <c r="AB88" i="1"/>
  <c r="AA88" i="1"/>
  <c r="Z88" i="1"/>
  <c r="Y88" i="1"/>
  <c r="X88" i="1"/>
  <c r="W88" i="1"/>
  <c r="V88" i="1"/>
  <c r="U88" i="1"/>
  <c r="AB87" i="1"/>
  <c r="AA87" i="1"/>
  <c r="Z87" i="1"/>
  <c r="Y87" i="1"/>
  <c r="X87" i="1"/>
  <c r="W87" i="1"/>
  <c r="V87" i="1"/>
  <c r="U87" i="1"/>
  <c r="AB86" i="1"/>
  <c r="AA86" i="1"/>
  <c r="Z86" i="1"/>
  <c r="Y86" i="1"/>
  <c r="X86" i="1"/>
  <c r="W86" i="1"/>
  <c r="V86" i="1"/>
  <c r="U86" i="1"/>
  <c r="Y82" i="1"/>
  <c r="V82" i="1"/>
  <c r="Y81" i="1"/>
  <c r="V81" i="1"/>
  <c r="M81" i="1"/>
  <c r="AC78" i="1"/>
  <c r="AB78" i="1"/>
  <c r="AA78" i="1"/>
  <c r="Q78" i="1"/>
  <c r="O78" i="1"/>
  <c r="N78" i="1"/>
  <c r="AC76" i="1"/>
  <c r="AB76" i="1"/>
  <c r="AA76" i="1"/>
  <c r="Z76" i="1"/>
  <c r="Y76" i="1"/>
  <c r="X76" i="1"/>
  <c r="W76" i="1"/>
  <c r="V76" i="1"/>
  <c r="U76" i="1"/>
  <c r="Q76" i="1"/>
  <c r="AA69" i="1"/>
  <c r="Z69" i="1"/>
  <c r="Y69" i="1"/>
  <c r="X69" i="1"/>
  <c r="V69" i="1"/>
  <c r="AB69" i="1"/>
  <c r="J69" i="1"/>
  <c r="AC68" i="1"/>
  <c r="AB68" i="1"/>
  <c r="AA68" i="1"/>
  <c r="Z68" i="1"/>
  <c r="X68" i="1"/>
  <c r="W68" i="1"/>
  <c r="V68" i="1"/>
  <c r="Y65" i="1"/>
  <c r="V65" i="1"/>
  <c r="AC63" i="1"/>
  <c r="AB63" i="1"/>
  <c r="AA63" i="1"/>
  <c r="Z63" i="1"/>
  <c r="Y63" i="1"/>
  <c r="X63" i="1"/>
  <c r="W63" i="1"/>
  <c r="V63" i="1"/>
  <c r="U63" i="1"/>
  <c r="AB62" i="1" l="1"/>
  <c r="AA62" i="1"/>
  <c r="Z62" i="1"/>
  <c r="Y62" i="1"/>
  <c r="X62" i="1"/>
  <c r="W62" i="1"/>
  <c r="V62" i="1"/>
  <c r="U62" i="1"/>
  <c r="AB60" i="1"/>
  <c r="AA60" i="1"/>
  <c r="Z60" i="1"/>
  <c r="Y60" i="1"/>
  <c r="X60" i="1"/>
  <c r="W60" i="1"/>
  <c r="AC60" i="1"/>
  <c r="V60" i="1"/>
  <c r="U60" i="1"/>
  <c r="AC59" i="1"/>
  <c r="V59" i="1"/>
  <c r="X59" i="1"/>
  <c r="U59" i="1"/>
  <c r="AB59" i="1"/>
  <c r="W59" i="1"/>
  <c r="AA59" i="1"/>
  <c r="Z59" i="1"/>
  <c r="Y59" i="1"/>
  <c r="P59" i="1"/>
  <c r="X58" i="1"/>
  <c r="AB58" i="1"/>
  <c r="AA58" i="1"/>
  <c r="Z58" i="1"/>
  <c r="Y58" i="1"/>
  <c r="W58" i="1"/>
  <c r="AC58" i="1"/>
  <c r="U58" i="1"/>
  <c r="V58" i="1"/>
  <c r="AC57" i="1"/>
  <c r="AB57" i="1"/>
  <c r="AA57" i="1"/>
  <c r="Z57" i="1"/>
  <c r="Y57" i="1"/>
  <c r="X57" i="1"/>
  <c r="W57" i="1"/>
  <c r="V57" i="1"/>
  <c r="P57" i="1"/>
  <c r="Q52" i="1"/>
  <c r="P52" i="1"/>
  <c r="O52" i="1"/>
  <c r="N52" i="1"/>
  <c r="M52" i="1"/>
  <c r="L52" i="1"/>
  <c r="K52" i="1"/>
  <c r="J52" i="1"/>
  <c r="I52" i="1"/>
  <c r="AC49" i="1"/>
  <c r="AA49" i="1"/>
  <c r="Z49" i="1"/>
  <c r="Y49" i="1"/>
  <c r="X49" i="1"/>
  <c r="W49" i="1"/>
  <c r="V49" i="1"/>
  <c r="Q49" i="1"/>
  <c r="O49" i="1"/>
  <c r="AC48" i="1"/>
  <c r="AB48" i="1"/>
  <c r="AA48" i="1"/>
  <c r="Z48" i="1"/>
  <c r="X48" i="1"/>
  <c r="W48" i="1"/>
  <c r="V48" i="1"/>
  <c r="N48" i="1"/>
  <c r="W47" i="1"/>
  <c r="V47" i="1"/>
  <c r="AC46" i="1"/>
  <c r="AB46" i="1"/>
  <c r="AA46" i="1"/>
  <c r="Z46" i="1"/>
  <c r="Y46" i="1"/>
  <c r="X46" i="1"/>
  <c r="W46" i="1"/>
  <c r="Q46" i="1"/>
  <c r="Z43" i="1"/>
  <c r="W43" i="1"/>
  <c r="N43" i="1"/>
  <c r="K43" i="1"/>
  <c r="Z42" i="1"/>
  <c r="AB42" i="1"/>
  <c r="AA42" i="1"/>
  <c r="Y42" i="1"/>
  <c r="X42" i="1"/>
  <c r="V42" i="1"/>
  <c r="U42" i="1"/>
  <c r="AB41" i="1"/>
  <c r="AA41" i="1"/>
  <c r="Y41" i="1"/>
  <c r="X41" i="1"/>
  <c r="V41" i="1"/>
  <c r="U41" i="1"/>
  <c r="K39" i="1"/>
  <c r="W38" i="1"/>
  <c r="K38" i="1"/>
  <c r="AB37" i="1"/>
  <c r="AA37" i="1"/>
  <c r="Z37" i="1"/>
  <c r="X37" i="1"/>
  <c r="U37" i="1"/>
  <c r="P37" i="1"/>
  <c r="O37" i="1"/>
  <c r="N37" i="1"/>
  <c r="L37" i="1"/>
  <c r="AC32" i="1"/>
  <c r="AC29" i="1"/>
  <c r="Q29" i="1"/>
  <c r="AC21" i="1"/>
  <c r="AB32" i="1" l="1"/>
  <c r="AA32" i="1"/>
  <c r="Y32" i="1"/>
  <c r="X32" i="1"/>
  <c r="W32" i="1"/>
  <c r="V32" i="1"/>
  <c r="O32" i="1"/>
  <c r="AC31" i="1"/>
  <c r="AB31" i="1"/>
  <c r="AA31" i="1"/>
  <c r="Z31" i="1"/>
  <c r="Y31" i="1"/>
  <c r="X31" i="1"/>
  <c r="W31" i="1"/>
  <c r="V31" i="1"/>
  <c r="AC30" i="1"/>
  <c r="AB30" i="1"/>
  <c r="AA30" i="1"/>
  <c r="Z30" i="1"/>
  <c r="Y30" i="1"/>
  <c r="W30" i="1"/>
  <c r="V30" i="1"/>
  <c r="M30" i="1"/>
  <c r="J30" i="1"/>
  <c r="AA29" i="1"/>
  <c r="Y29" i="1"/>
  <c r="X29" i="1"/>
  <c r="W29" i="1"/>
  <c r="O29" i="1"/>
  <c r="Y26" i="1" l="1"/>
  <c r="W26" i="1"/>
  <c r="V26" i="1"/>
  <c r="M26" i="1"/>
  <c r="K26" i="1"/>
  <c r="J26" i="1"/>
  <c r="AA25" i="1"/>
  <c r="Z25" i="1"/>
  <c r="Y25" i="1"/>
  <c r="X25" i="1"/>
  <c r="W25" i="1"/>
  <c r="V25" i="1"/>
  <c r="K25" i="1"/>
  <c r="AB24" i="1"/>
  <c r="Z24" i="1"/>
  <c r="Y24" i="1"/>
  <c r="X24" i="1"/>
  <c r="V24" i="1"/>
  <c r="L24" i="1"/>
  <c r="AB21" i="1" l="1"/>
  <c r="AA21" i="1"/>
  <c r="Z21" i="1"/>
  <c r="Y21" i="1"/>
  <c r="X21" i="1"/>
  <c r="W21" i="1"/>
  <c r="V21" i="1"/>
  <c r="AB20" i="1"/>
  <c r="AA20" i="1"/>
  <c r="Z20" i="1"/>
  <c r="Y20" i="1"/>
  <c r="X20" i="1"/>
  <c r="W20" i="1"/>
  <c r="P20" i="1"/>
  <c r="O20" i="1"/>
  <c r="N20" i="1"/>
  <c r="M20" i="1"/>
  <c r="L20" i="1"/>
  <c r="K20" i="1"/>
  <c r="AB19" i="1"/>
  <c r="X19" i="1"/>
  <c r="P19" i="1"/>
  <c r="L19" i="1"/>
  <c r="AB17" i="1" l="1"/>
  <c r="AA17" i="1"/>
  <c r="Z17" i="1"/>
  <c r="Y17" i="1"/>
  <c r="X17" i="1"/>
  <c r="W17" i="1"/>
  <c r="V17" i="1"/>
  <c r="O17" i="1"/>
  <c r="N17" i="1"/>
  <c r="M17" i="1"/>
  <c r="L17" i="1"/>
  <c r="K17" i="1"/>
  <c r="J17" i="1"/>
  <c r="I17" i="1"/>
  <c r="V16" i="1"/>
  <c r="X16" i="1"/>
  <c r="AB16" i="1"/>
  <c r="Z16" i="1"/>
  <c r="Y16" i="1"/>
  <c r="J16" i="1"/>
  <c r="AK397" i="1" l="1"/>
  <c r="AJ397" i="1"/>
  <c r="AA369" i="1" l="1"/>
  <c r="Y345" i="1" l="1"/>
  <c r="Y335" i="1" l="1"/>
  <c r="M335" i="1"/>
  <c r="Y325" i="1" l="1"/>
  <c r="AK140" i="1" l="1"/>
  <c r="AJ140" i="1"/>
  <c r="AI140" i="1"/>
  <c r="AI305" i="1"/>
  <c r="AJ305" i="1"/>
  <c r="AK305" i="1"/>
  <c r="AN140" i="1" l="1"/>
  <c r="AN305" i="1"/>
  <c r="AL305" i="1"/>
  <c r="AL140" i="1"/>
  <c r="AM140" i="1"/>
  <c r="AM305" i="1"/>
  <c r="X136" i="1"/>
  <c r="W136" i="1"/>
  <c r="L136" i="1"/>
  <c r="K136" i="1"/>
  <c r="K123" i="1" l="1"/>
  <c r="J123" i="1"/>
  <c r="V119" i="1"/>
  <c r="W110" i="1" l="1"/>
  <c r="V110" i="1"/>
  <c r="K110" i="1"/>
  <c r="J110" i="1"/>
  <c r="K108" i="1"/>
  <c r="V107" i="1" l="1"/>
  <c r="K105" i="1"/>
  <c r="W96" i="1" l="1"/>
  <c r="V96" i="1"/>
  <c r="V89" i="1" l="1"/>
  <c r="V46" i="1" l="1"/>
  <c r="I34" i="1" l="1"/>
  <c r="V29" i="1"/>
  <c r="AK793" i="1" l="1"/>
  <c r="AJ793" i="1"/>
  <c r="AM793" i="1" s="1"/>
  <c r="AI793" i="1"/>
  <c r="AK792" i="1"/>
  <c r="AJ792" i="1"/>
  <c r="AI792" i="1"/>
  <c r="AK791" i="1"/>
  <c r="AJ791" i="1"/>
  <c r="AI791" i="1"/>
  <c r="AK790" i="1"/>
  <c r="AJ790" i="1"/>
  <c r="AI790" i="1"/>
  <c r="AK789" i="1"/>
  <c r="AJ789" i="1"/>
  <c r="AM789" i="1" s="1"/>
  <c r="AI789" i="1"/>
  <c r="AK788" i="1"/>
  <c r="AJ788" i="1"/>
  <c r="AI788" i="1"/>
  <c r="AK787" i="1"/>
  <c r="AJ787" i="1"/>
  <c r="AI787" i="1"/>
  <c r="AK786" i="1"/>
  <c r="AJ786" i="1"/>
  <c r="AI786" i="1"/>
  <c r="AK785" i="1"/>
  <c r="AJ785" i="1"/>
  <c r="AM785" i="1" s="1"/>
  <c r="AI785" i="1"/>
  <c r="AK784" i="1"/>
  <c r="AJ784" i="1"/>
  <c r="AI784" i="1"/>
  <c r="AK783" i="1"/>
  <c r="AJ783" i="1"/>
  <c r="AI783" i="1"/>
  <c r="AK782" i="1"/>
  <c r="AJ782" i="1"/>
  <c r="AI782" i="1"/>
  <c r="AK781" i="1"/>
  <c r="AJ781" i="1"/>
  <c r="AM781" i="1" s="1"/>
  <c r="AI781" i="1"/>
  <c r="AK780" i="1"/>
  <c r="AJ780" i="1"/>
  <c r="AI780" i="1"/>
  <c r="AK779" i="1"/>
  <c r="AJ779" i="1"/>
  <c r="AI779" i="1"/>
  <c r="AK778" i="1"/>
  <c r="AJ778" i="1"/>
  <c r="AI778" i="1"/>
  <c r="AK777" i="1"/>
  <c r="AJ777" i="1"/>
  <c r="AM777" i="1" s="1"/>
  <c r="AI777" i="1"/>
  <c r="AK776" i="1"/>
  <c r="AJ776" i="1"/>
  <c r="AI776" i="1"/>
  <c r="AK775" i="1"/>
  <c r="AJ775" i="1"/>
  <c r="AI775" i="1"/>
  <c r="AK774" i="1"/>
  <c r="AJ774" i="1"/>
  <c r="AI774" i="1"/>
  <c r="AK773" i="1"/>
  <c r="AJ773" i="1"/>
  <c r="AI773" i="1"/>
  <c r="AK772" i="1"/>
  <c r="AJ772" i="1"/>
  <c r="AI772" i="1"/>
  <c r="AK771" i="1"/>
  <c r="AJ771" i="1"/>
  <c r="AI771" i="1"/>
  <c r="AK770" i="1"/>
  <c r="AJ770" i="1"/>
  <c r="AI770" i="1"/>
  <c r="AK769" i="1"/>
  <c r="AJ769" i="1"/>
  <c r="AM769" i="1" s="1"/>
  <c r="AI769" i="1"/>
  <c r="AK768" i="1"/>
  <c r="AJ768" i="1"/>
  <c r="AI768" i="1"/>
  <c r="AK767" i="1"/>
  <c r="AJ767" i="1"/>
  <c r="AI767" i="1"/>
  <c r="AK766" i="1"/>
  <c r="AJ766" i="1"/>
  <c r="AI766" i="1"/>
  <c r="AK765" i="1"/>
  <c r="AJ765" i="1"/>
  <c r="AM765" i="1" s="1"/>
  <c r="AI765" i="1"/>
  <c r="AK764" i="1"/>
  <c r="AJ764" i="1"/>
  <c r="AI764" i="1"/>
  <c r="AK763" i="1"/>
  <c r="AJ763" i="1"/>
  <c r="AI763" i="1"/>
  <c r="AK762" i="1"/>
  <c r="AJ762" i="1"/>
  <c r="AI762" i="1"/>
  <c r="AK761" i="1"/>
  <c r="AJ761" i="1"/>
  <c r="AM761" i="1" s="1"/>
  <c r="AI761" i="1"/>
  <c r="AK760" i="1"/>
  <c r="AJ760" i="1"/>
  <c r="AI760" i="1"/>
  <c r="AK759" i="1"/>
  <c r="AJ759" i="1"/>
  <c r="AI759" i="1"/>
  <c r="AK758" i="1"/>
  <c r="AJ758" i="1"/>
  <c r="AN758" i="1" s="1"/>
  <c r="AI758" i="1"/>
  <c r="AK757" i="1"/>
  <c r="AJ757" i="1"/>
  <c r="AM757" i="1" s="1"/>
  <c r="AI757" i="1"/>
  <c r="AK756" i="1"/>
  <c r="AJ756" i="1"/>
  <c r="AI756" i="1"/>
  <c r="AK755" i="1"/>
  <c r="AJ755" i="1"/>
  <c r="AM755" i="1" s="1"/>
  <c r="AI755" i="1"/>
  <c r="AK754" i="1"/>
  <c r="AJ754" i="1"/>
  <c r="AI754" i="1"/>
  <c r="AK753" i="1"/>
  <c r="AJ753" i="1"/>
  <c r="AM753" i="1" s="1"/>
  <c r="AI753" i="1"/>
  <c r="AK752" i="1"/>
  <c r="AJ752" i="1"/>
  <c r="AI752" i="1"/>
  <c r="AK751" i="1"/>
  <c r="AJ751" i="1"/>
  <c r="AM751" i="1" s="1"/>
  <c r="AI751" i="1"/>
  <c r="AK750" i="1"/>
  <c r="AJ750" i="1"/>
  <c r="AI750" i="1"/>
  <c r="AK749" i="1"/>
  <c r="AJ749" i="1"/>
  <c r="AI749" i="1"/>
  <c r="AK748" i="1"/>
  <c r="AJ748" i="1"/>
  <c r="AI748" i="1"/>
  <c r="AK747" i="1"/>
  <c r="AJ747" i="1"/>
  <c r="AI747" i="1"/>
  <c r="AK746" i="1"/>
  <c r="AJ746" i="1"/>
  <c r="AI746" i="1"/>
  <c r="AK745" i="1"/>
  <c r="AJ745" i="1"/>
  <c r="AI745" i="1"/>
  <c r="AK744" i="1"/>
  <c r="AJ744" i="1"/>
  <c r="AI744" i="1"/>
  <c r="AK743" i="1"/>
  <c r="AJ743" i="1"/>
  <c r="AI743" i="1"/>
  <c r="AK742" i="1"/>
  <c r="AJ742" i="1"/>
  <c r="AI742" i="1"/>
  <c r="AK741" i="1"/>
  <c r="AJ741" i="1"/>
  <c r="AI741" i="1"/>
  <c r="AK740" i="1"/>
  <c r="AJ740" i="1"/>
  <c r="AI740" i="1"/>
  <c r="AK739" i="1"/>
  <c r="AJ739" i="1"/>
  <c r="AM739" i="1" s="1"/>
  <c r="AI739" i="1"/>
  <c r="AK738" i="1"/>
  <c r="AJ738" i="1"/>
  <c r="AI738" i="1"/>
  <c r="AK737" i="1"/>
  <c r="AJ737" i="1"/>
  <c r="AM737" i="1" s="1"/>
  <c r="AI737" i="1"/>
  <c r="AK736" i="1"/>
  <c r="AJ736" i="1"/>
  <c r="AI736" i="1"/>
  <c r="AK735" i="1"/>
  <c r="AJ735" i="1"/>
  <c r="AI735" i="1"/>
  <c r="AN734" i="1"/>
  <c r="AK734" i="1"/>
  <c r="AJ734" i="1"/>
  <c r="AI734" i="1"/>
  <c r="AK733" i="1"/>
  <c r="AJ733" i="1"/>
  <c r="AI733" i="1"/>
  <c r="AK732" i="1"/>
  <c r="AJ732" i="1"/>
  <c r="AI732" i="1"/>
  <c r="AK731" i="1"/>
  <c r="AJ731" i="1"/>
  <c r="AI731" i="1"/>
  <c r="AN731" i="1" s="1"/>
  <c r="AK730" i="1"/>
  <c r="AJ730" i="1"/>
  <c r="AI730" i="1"/>
  <c r="AK729" i="1"/>
  <c r="AJ729" i="1"/>
  <c r="AI729" i="1"/>
  <c r="AN729" i="1" s="1"/>
  <c r="AK728" i="1"/>
  <c r="AJ728" i="1"/>
  <c r="AI728" i="1"/>
  <c r="AK727" i="1"/>
  <c r="AJ727" i="1"/>
  <c r="AI727" i="1"/>
  <c r="AN727" i="1" s="1"/>
  <c r="AK726" i="1"/>
  <c r="AJ726" i="1"/>
  <c r="AI726" i="1"/>
  <c r="AK725" i="1"/>
  <c r="AJ725" i="1"/>
  <c r="AI725" i="1"/>
  <c r="AK724" i="1"/>
  <c r="AJ724" i="1"/>
  <c r="AI724" i="1"/>
  <c r="AK723" i="1"/>
  <c r="AJ723" i="1"/>
  <c r="AI723" i="1"/>
  <c r="AK722" i="1"/>
  <c r="AJ722" i="1"/>
  <c r="AI722" i="1"/>
  <c r="AK721" i="1"/>
  <c r="AJ721" i="1"/>
  <c r="AI721" i="1"/>
  <c r="AK720" i="1"/>
  <c r="AJ720" i="1"/>
  <c r="AI720" i="1"/>
  <c r="AK719" i="1"/>
  <c r="AJ719" i="1"/>
  <c r="AI719" i="1"/>
  <c r="AK718" i="1"/>
  <c r="AJ718" i="1"/>
  <c r="AI718" i="1"/>
  <c r="AK717" i="1"/>
  <c r="AJ717" i="1"/>
  <c r="AI717" i="1"/>
  <c r="AK716" i="1"/>
  <c r="AJ716" i="1"/>
  <c r="AI716" i="1"/>
  <c r="AK715" i="1"/>
  <c r="AJ715" i="1"/>
  <c r="AI715" i="1"/>
  <c r="AK714" i="1"/>
  <c r="AJ714" i="1"/>
  <c r="AI714" i="1"/>
  <c r="AK713" i="1"/>
  <c r="AJ713" i="1"/>
  <c r="AI713" i="1"/>
  <c r="AN713" i="1" s="1"/>
  <c r="AK712" i="1"/>
  <c r="AJ712" i="1"/>
  <c r="AI712" i="1"/>
  <c r="AK711" i="1"/>
  <c r="AJ711" i="1"/>
  <c r="AI711" i="1"/>
  <c r="AN711" i="1" s="1"/>
  <c r="AK710" i="1"/>
  <c r="AJ710" i="1"/>
  <c r="AI710" i="1"/>
  <c r="AK709" i="1"/>
  <c r="AJ709" i="1"/>
  <c r="AI709" i="1"/>
  <c r="AK708" i="1"/>
  <c r="AJ708" i="1"/>
  <c r="AI708" i="1"/>
  <c r="AK707" i="1"/>
  <c r="AJ707" i="1"/>
  <c r="AI707" i="1"/>
  <c r="AK706" i="1"/>
  <c r="AJ706" i="1"/>
  <c r="AI706" i="1"/>
  <c r="AK705" i="1"/>
  <c r="AJ705" i="1"/>
  <c r="AI705" i="1"/>
  <c r="AK704" i="1"/>
  <c r="AJ704" i="1"/>
  <c r="AI704" i="1"/>
  <c r="AK703" i="1"/>
  <c r="AJ703" i="1"/>
  <c r="AI703" i="1"/>
  <c r="AK702" i="1"/>
  <c r="AJ702" i="1"/>
  <c r="AI702" i="1"/>
  <c r="AK701" i="1"/>
  <c r="AJ701" i="1"/>
  <c r="AI701" i="1"/>
  <c r="AN701" i="1" s="1"/>
  <c r="AK700" i="1"/>
  <c r="AJ700" i="1"/>
  <c r="AI700" i="1"/>
  <c r="AK699" i="1"/>
  <c r="AJ699" i="1"/>
  <c r="AI699" i="1"/>
  <c r="AN699" i="1" s="1"/>
  <c r="AK698" i="1"/>
  <c r="AJ698" i="1"/>
  <c r="AI698" i="1"/>
  <c r="AK697" i="1"/>
  <c r="AJ697" i="1"/>
  <c r="AI697" i="1"/>
  <c r="AN697" i="1" s="1"/>
  <c r="AK696" i="1"/>
  <c r="AJ696" i="1"/>
  <c r="AI696" i="1"/>
  <c r="AK695" i="1"/>
  <c r="AJ695" i="1"/>
  <c r="AI695" i="1"/>
  <c r="AN695" i="1" s="1"/>
  <c r="AK694" i="1"/>
  <c r="AJ694" i="1"/>
  <c r="AI694" i="1"/>
  <c r="AK693" i="1"/>
  <c r="AJ693" i="1"/>
  <c r="AI693" i="1"/>
  <c r="AN693" i="1" s="1"/>
  <c r="AK692" i="1"/>
  <c r="AJ692" i="1"/>
  <c r="AI692" i="1"/>
  <c r="AK691" i="1"/>
  <c r="AJ691" i="1"/>
  <c r="AI691" i="1"/>
  <c r="AN691" i="1" s="1"/>
  <c r="AK690" i="1"/>
  <c r="AJ690" i="1"/>
  <c r="AI690" i="1"/>
  <c r="AK689" i="1"/>
  <c r="AJ689" i="1"/>
  <c r="AI689" i="1"/>
  <c r="AK688" i="1"/>
  <c r="AJ688" i="1"/>
  <c r="AI688" i="1"/>
  <c r="AK687" i="1"/>
  <c r="AJ687" i="1"/>
  <c r="AI687" i="1"/>
  <c r="AK686" i="1"/>
  <c r="AJ686" i="1"/>
  <c r="AI686" i="1"/>
  <c r="AK685" i="1"/>
  <c r="AJ685" i="1"/>
  <c r="AI685" i="1"/>
  <c r="AK684" i="1"/>
  <c r="AJ684" i="1"/>
  <c r="AI684" i="1"/>
  <c r="AK683" i="1"/>
  <c r="AJ683" i="1"/>
  <c r="AI683" i="1"/>
  <c r="AK682" i="1"/>
  <c r="AJ682" i="1"/>
  <c r="AI682" i="1"/>
  <c r="AK681" i="1"/>
  <c r="AJ681" i="1"/>
  <c r="AI681" i="1"/>
  <c r="AN681" i="1" s="1"/>
  <c r="AK680" i="1"/>
  <c r="AJ680" i="1"/>
  <c r="AI680" i="1"/>
  <c r="AK679" i="1"/>
  <c r="AJ679" i="1"/>
  <c r="AI679" i="1"/>
  <c r="AK678" i="1"/>
  <c r="AJ678" i="1"/>
  <c r="AI678" i="1"/>
  <c r="AK677" i="1"/>
  <c r="AJ677" i="1"/>
  <c r="AI677" i="1"/>
  <c r="AK676" i="1"/>
  <c r="AJ676" i="1"/>
  <c r="AI676" i="1"/>
  <c r="AK675" i="1"/>
  <c r="AJ675" i="1"/>
  <c r="AI675" i="1"/>
  <c r="AK674" i="1"/>
  <c r="AJ674" i="1"/>
  <c r="AI674" i="1"/>
  <c r="AK673" i="1"/>
  <c r="AJ673" i="1"/>
  <c r="AI673" i="1"/>
  <c r="AK672" i="1"/>
  <c r="AJ672" i="1"/>
  <c r="AI672" i="1"/>
  <c r="AK671" i="1"/>
  <c r="AJ671" i="1"/>
  <c r="AI671" i="1"/>
  <c r="AM670" i="1"/>
  <c r="AK670" i="1"/>
  <c r="AJ670" i="1"/>
  <c r="AI670" i="1"/>
  <c r="AK669" i="1"/>
  <c r="AJ669" i="1"/>
  <c r="AI669" i="1"/>
  <c r="AK668" i="1"/>
  <c r="AJ668" i="1"/>
  <c r="AI668" i="1"/>
  <c r="AK667" i="1"/>
  <c r="AJ667" i="1"/>
  <c r="AI667" i="1"/>
  <c r="AK666" i="1"/>
  <c r="AJ666" i="1"/>
  <c r="AI666" i="1"/>
  <c r="AK665" i="1"/>
  <c r="AJ665" i="1"/>
  <c r="AI665" i="1"/>
  <c r="AK664" i="1"/>
  <c r="AJ664" i="1"/>
  <c r="AI664" i="1"/>
  <c r="AK663" i="1"/>
  <c r="AJ663" i="1"/>
  <c r="AI663" i="1"/>
  <c r="AK662" i="1"/>
  <c r="AJ662" i="1"/>
  <c r="AI662" i="1"/>
  <c r="AN662" i="1" s="1"/>
  <c r="AK661" i="1"/>
  <c r="AJ661" i="1"/>
  <c r="AI661" i="1"/>
  <c r="AK660" i="1"/>
  <c r="AJ660" i="1"/>
  <c r="AI660" i="1"/>
  <c r="AK659" i="1"/>
  <c r="AJ659" i="1"/>
  <c r="AI659" i="1"/>
  <c r="AK658" i="1"/>
  <c r="AJ658" i="1"/>
  <c r="AI658" i="1"/>
  <c r="AK657" i="1"/>
  <c r="AJ657" i="1"/>
  <c r="AI657" i="1"/>
  <c r="AK656" i="1"/>
  <c r="AJ656" i="1"/>
  <c r="AI656" i="1"/>
  <c r="AK655" i="1"/>
  <c r="AJ655" i="1"/>
  <c r="AI655" i="1"/>
  <c r="AK654" i="1"/>
  <c r="AJ654" i="1"/>
  <c r="AI654" i="1"/>
  <c r="AK653" i="1"/>
  <c r="AJ653" i="1"/>
  <c r="AI653" i="1"/>
  <c r="AK652" i="1"/>
  <c r="AJ652" i="1"/>
  <c r="AI652" i="1"/>
  <c r="AK651" i="1"/>
  <c r="AJ651" i="1"/>
  <c r="AI651" i="1"/>
  <c r="AN651" i="1" s="1"/>
  <c r="AK650" i="1"/>
  <c r="AJ650" i="1"/>
  <c r="AI650" i="1"/>
  <c r="AK649" i="1"/>
  <c r="AJ649" i="1"/>
  <c r="AI649" i="1"/>
  <c r="AK648" i="1"/>
  <c r="AJ648" i="1"/>
  <c r="AI648" i="1"/>
  <c r="AK647" i="1"/>
  <c r="AJ647" i="1"/>
  <c r="AI647" i="1"/>
  <c r="AK646" i="1"/>
  <c r="AJ646" i="1"/>
  <c r="AI646" i="1"/>
  <c r="AN646" i="1" s="1"/>
  <c r="AK645" i="1"/>
  <c r="AJ645" i="1"/>
  <c r="AI645" i="1"/>
  <c r="AK644" i="1"/>
  <c r="AJ644" i="1"/>
  <c r="AI644" i="1"/>
  <c r="AK643" i="1"/>
  <c r="AJ643" i="1"/>
  <c r="AI643" i="1"/>
  <c r="AK642" i="1"/>
  <c r="AJ642" i="1"/>
  <c r="AI642" i="1"/>
  <c r="AN642" i="1" s="1"/>
  <c r="AK641" i="1"/>
  <c r="AJ641" i="1"/>
  <c r="AI641" i="1"/>
  <c r="AK640" i="1"/>
  <c r="AJ640" i="1"/>
  <c r="AI640" i="1"/>
  <c r="AK639" i="1"/>
  <c r="AJ639" i="1"/>
  <c r="AI639" i="1"/>
  <c r="AK638" i="1"/>
  <c r="AJ638" i="1"/>
  <c r="AI638" i="1"/>
  <c r="AN638" i="1" s="1"/>
  <c r="AK637" i="1"/>
  <c r="AJ637" i="1"/>
  <c r="AI637" i="1"/>
  <c r="AK636" i="1"/>
  <c r="AJ636" i="1"/>
  <c r="AI636" i="1"/>
  <c r="AK635" i="1"/>
  <c r="AJ635" i="1"/>
  <c r="AI635" i="1"/>
  <c r="AK634" i="1"/>
  <c r="AJ634" i="1"/>
  <c r="AI634" i="1"/>
  <c r="AK633" i="1"/>
  <c r="AJ633" i="1"/>
  <c r="AI633" i="1"/>
  <c r="AK632" i="1"/>
  <c r="AJ632" i="1"/>
  <c r="AI632" i="1"/>
  <c r="AK631" i="1"/>
  <c r="AJ631" i="1"/>
  <c r="AI631" i="1"/>
  <c r="AK630" i="1"/>
  <c r="AJ630" i="1"/>
  <c r="AI630" i="1"/>
  <c r="AK629" i="1"/>
  <c r="AJ629" i="1"/>
  <c r="AI629" i="1"/>
  <c r="AK628" i="1"/>
  <c r="AJ628" i="1"/>
  <c r="AI628" i="1"/>
  <c r="AK627" i="1"/>
  <c r="AJ627" i="1"/>
  <c r="AI627" i="1"/>
  <c r="AN627" i="1" s="1"/>
  <c r="AK626" i="1"/>
  <c r="AJ626" i="1"/>
  <c r="AI626" i="1"/>
  <c r="AN626" i="1" s="1"/>
  <c r="AK625" i="1"/>
  <c r="AJ625" i="1"/>
  <c r="AI625" i="1"/>
  <c r="AK624" i="1"/>
  <c r="AJ624" i="1"/>
  <c r="AI624" i="1"/>
  <c r="AK623" i="1"/>
  <c r="AJ623" i="1"/>
  <c r="AI623" i="1"/>
  <c r="AK622" i="1"/>
  <c r="AJ622" i="1"/>
  <c r="AI622" i="1"/>
  <c r="AK621" i="1"/>
  <c r="AJ621" i="1"/>
  <c r="AI621" i="1"/>
  <c r="AK620" i="1"/>
  <c r="AJ620" i="1"/>
  <c r="AI620" i="1"/>
  <c r="AK619" i="1"/>
  <c r="AJ619" i="1"/>
  <c r="AI619" i="1"/>
  <c r="AK618" i="1"/>
  <c r="AJ618" i="1"/>
  <c r="AI618" i="1"/>
  <c r="AK617" i="1"/>
  <c r="AJ617" i="1"/>
  <c r="AI617" i="1"/>
  <c r="AK616" i="1"/>
  <c r="AJ616" i="1"/>
  <c r="AI616" i="1"/>
  <c r="AK615" i="1"/>
  <c r="AJ615" i="1"/>
  <c r="AI615" i="1"/>
  <c r="AK614" i="1"/>
  <c r="AJ614" i="1"/>
  <c r="AI614" i="1"/>
  <c r="AK613" i="1"/>
  <c r="AJ613" i="1"/>
  <c r="AI613" i="1"/>
  <c r="AK612" i="1"/>
  <c r="AJ612" i="1"/>
  <c r="AI612" i="1"/>
  <c r="AK611" i="1"/>
  <c r="AJ611" i="1"/>
  <c r="AI611" i="1"/>
  <c r="AK610" i="1"/>
  <c r="AJ610" i="1"/>
  <c r="AI610" i="1"/>
  <c r="AN610" i="1" s="1"/>
  <c r="AK609" i="1"/>
  <c r="AJ609" i="1"/>
  <c r="AI609" i="1"/>
  <c r="AK608" i="1"/>
  <c r="AJ608" i="1"/>
  <c r="AI608" i="1"/>
  <c r="AK607" i="1"/>
  <c r="AJ607" i="1"/>
  <c r="AI607" i="1"/>
  <c r="AK606" i="1"/>
  <c r="AJ606" i="1"/>
  <c r="AI606" i="1"/>
  <c r="AK605" i="1"/>
  <c r="AJ605" i="1"/>
  <c r="AI605" i="1"/>
  <c r="AK604" i="1"/>
  <c r="AJ604" i="1"/>
  <c r="AI604" i="1"/>
  <c r="AK603" i="1"/>
  <c r="AJ603" i="1"/>
  <c r="AI603" i="1"/>
  <c r="AK602" i="1"/>
  <c r="AJ602" i="1"/>
  <c r="AI602" i="1"/>
  <c r="AN602" i="1" s="1"/>
  <c r="AK601" i="1"/>
  <c r="AJ601" i="1"/>
  <c r="AI601" i="1"/>
  <c r="AK600" i="1"/>
  <c r="AJ600" i="1"/>
  <c r="AI600" i="1"/>
  <c r="AK599" i="1"/>
  <c r="AJ599" i="1"/>
  <c r="AI599" i="1"/>
  <c r="AK598" i="1"/>
  <c r="AJ598" i="1"/>
  <c r="AI598" i="1"/>
  <c r="AN598" i="1" s="1"/>
  <c r="AK597" i="1"/>
  <c r="AJ597" i="1"/>
  <c r="AM597" i="1" s="1"/>
  <c r="AI597" i="1"/>
  <c r="AK596" i="1"/>
  <c r="AJ596" i="1"/>
  <c r="AI596" i="1"/>
  <c r="AN596" i="1" s="1"/>
  <c r="AK595" i="1"/>
  <c r="AJ595" i="1"/>
  <c r="AI595" i="1"/>
  <c r="AK594" i="1"/>
  <c r="AJ594" i="1"/>
  <c r="AI594" i="1"/>
  <c r="AK593" i="1"/>
  <c r="AJ593" i="1"/>
  <c r="AI593" i="1"/>
  <c r="AK592" i="1"/>
  <c r="AJ592" i="1"/>
  <c r="AI592" i="1"/>
  <c r="AK591" i="1"/>
  <c r="AJ591" i="1"/>
  <c r="AI591" i="1"/>
  <c r="AK590" i="1"/>
  <c r="AJ590" i="1"/>
  <c r="AI590" i="1"/>
  <c r="AK589" i="1"/>
  <c r="AJ589" i="1"/>
  <c r="AM589" i="1" s="1"/>
  <c r="AI589" i="1"/>
  <c r="AK588" i="1"/>
  <c r="AJ588" i="1"/>
  <c r="AI588" i="1"/>
  <c r="AN588" i="1" s="1"/>
  <c r="AK587" i="1"/>
  <c r="AJ587" i="1"/>
  <c r="AI587" i="1"/>
  <c r="AN587" i="1" s="1"/>
  <c r="AK586" i="1"/>
  <c r="AJ586" i="1"/>
  <c r="AI586" i="1"/>
  <c r="AK585" i="1"/>
  <c r="AJ585" i="1"/>
  <c r="AI585" i="1"/>
  <c r="AK584" i="1"/>
  <c r="AJ584" i="1"/>
  <c r="AI584" i="1"/>
  <c r="AN584" i="1" s="1"/>
  <c r="AK583" i="1"/>
  <c r="AJ583" i="1"/>
  <c r="AI583" i="1"/>
  <c r="AK582" i="1"/>
  <c r="AJ582" i="1"/>
  <c r="AI582" i="1"/>
  <c r="AK581" i="1"/>
  <c r="AJ581" i="1"/>
  <c r="AI581" i="1"/>
  <c r="AN581" i="1" s="1"/>
  <c r="AK580" i="1"/>
  <c r="AJ580" i="1"/>
  <c r="AI580" i="1"/>
  <c r="AK579" i="1"/>
  <c r="AJ579" i="1"/>
  <c r="AI579" i="1"/>
  <c r="AK578" i="1"/>
  <c r="AJ578" i="1"/>
  <c r="AI578" i="1"/>
  <c r="AK577" i="1"/>
  <c r="AJ577" i="1"/>
  <c r="AI577" i="1"/>
  <c r="AK576" i="1"/>
  <c r="AJ576" i="1"/>
  <c r="AI576" i="1"/>
  <c r="AK575" i="1"/>
  <c r="AJ575" i="1"/>
  <c r="AI575" i="1"/>
  <c r="AK574" i="1"/>
  <c r="AJ574" i="1"/>
  <c r="AI574" i="1"/>
  <c r="AK573" i="1"/>
  <c r="AJ573" i="1"/>
  <c r="AM573" i="1" s="1"/>
  <c r="AI573" i="1"/>
  <c r="AK572" i="1"/>
  <c r="AJ572" i="1"/>
  <c r="AI572" i="1"/>
  <c r="AK571" i="1"/>
  <c r="AJ571" i="1"/>
  <c r="AI571" i="1"/>
  <c r="AK570" i="1"/>
  <c r="AJ570" i="1"/>
  <c r="AI570" i="1"/>
  <c r="AK569" i="1"/>
  <c r="AJ569" i="1"/>
  <c r="AI569" i="1"/>
  <c r="AK568" i="1"/>
  <c r="AJ568" i="1"/>
  <c r="AI568" i="1"/>
  <c r="AK567" i="1"/>
  <c r="AJ567" i="1"/>
  <c r="AI567" i="1"/>
  <c r="AK566" i="1"/>
  <c r="AJ566" i="1"/>
  <c r="AI566" i="1"/>
  <c r="AK565" i="1"/>
  <c r="AJ565" i="1"/>
  <c r="AI565" i="1"/>
  <c r="AK564" i="1"/>
  <c r="AJ564" i="1"/>
  <c r="AI564" i="1"/>
  <c r="AK563" i="1"/>
  <c r="AJ563" i="1"/>
  <c r="AI563" i="1"/>
  <c r="AK562" i="1"/>
  <c r="AJ562" i="1"/>
  <c r="AI562" i="1"/>
  <c r="AK561" i="1"/>
  <c r="AJ561" i="1"/>
  <c r="AI561" i="1"/>
  <c r="AK560" i="1"/>
  <c r="AJ560" i="1"/>
  <c r="AI560" i="1"/>
  <c r="AK559" i="1"/>
  <c r="AJ559" i="1"/>
  <c r="AI559" i="1"/>
  <c r="AK558" i="1"/>
  <c r="AJ558" i="1"/>
  <c r="AI558" i="1"/>
  <c r="AK557" i="1"/>
  <c r="AJ557" i="1"/>
  <c r="AM557" i="1" s="1"/>
  <c r="AI557" i="1"/>
  <c r="AK556" i="1"/>
  <c r="AJ556" i="1"/>
  <c r="AI556" i="1"/>
  <c r="AK555" i="1"/>
  <c r="AJ555" i="1"/>
  <c r="AI555" i="1"/>
  <c r="AK554" i="1"/>
  <c r="AJ554" i="1"/>
  <c r="AI554" i="1"/>
  <c r="AK553" i="1"/>
  <c r="AJ553" i="1"/>
  <c r="AL553" i="1" s="1"/>
  <c r="AI553" i="1"/>
  <c r="AK552" i="1"/>
  <c r="AJ552" i="1"/>
  <c r="AI552" i="1"/>
  <c r="AK551" i="1"/>
  <c r="AJ551" i="1"/>
  <c r="AI551" i="1"/>
  <c r="AK550" i="1"/>
  <c r="AJ550" i="1"/>
  <c r="AI550" i="1"/>
  <c r="AK549" i="1"/>
  <c r="AJ549" i="1"/>
  <c r="AM549" i="1" s="1"/>
  <c r="AI549" i="1"/>
  <c r="AK548" i="1"/>
  <c r="AJ548" i="1"/>
  <c r="AI548" i="1"/>
  <c r="AK547" i="1"/>
  <c r="AJ547" i="1"/>
  <c r="AI547" i="1"/>
  <c r="AK546" i="1"/>
  <c r="AJ546" i="1"/>
  <c r="AI546" i="1"/>
  <c r="AK545" i="1"/>
  <c r="AJ545" i="1"/>
  <c r="AI545" i="1"/>
  <c r="AK544" i="1"/>
  <c r="AJ544" i="1"/>
  <c r="AM544" i="1" s="1"/>
  <c r="AI544" i="1"/>
  <c r="AK543" i="1"/>
  <c r="AJ543" i="1"/>
  <c r="AI543" i="1"/>
  <c r="AK542" i="1"/>
  <c r="AJ542" i="1"/>
  <c r="AI542" i="1"/>
  <c r="AK541" i="1"/>
  <c r="AJ541" i="1"/>
  <c r="AI541" i="1"/>
  <c r="AK540" i="1"/>
  <c r="AJ540" i="1"/>
  <c r="AI540" i="1"/>
  <c r="AK539" i="1"/>
  <c r="AJ539" i="1"/>
  <c r="AI539" i="1"/>
  <c r="AK538" i="1"/>
  <c r="AJ538" i="1"/>
  <c r="AI538" i="1"/>
  <c r="AK537" i="1"/>
  <c r="AJ537" i="1"/>
  <c r="AI537" i="1"/>
  <c r="AK536" i="1"/>
  <c r="AJ536" i="1"/>
  <c r="AI536" i="1"/>
  <c r="AK535" i="1"/>
  <c r="AJ535" i="1"/>
  <c r="AI535" i="1"/>
  <c r="AK534" i="1"/>
  <c r="AJ534" i="1"/>
  <c r="AI534" i="1"/>
  <c r="AK533" i="1"/>
  <c r="AJ533" i="1"/>
  <c r="AI533" i="1"/>
  <c r="AK532" i="1"/>
  <c r="AJ532" i="1"/>
  <c r="AI532" i="1"/>
  <c r="AK531" i="1"/>
  <c r="AJ531" i="1"/>
  <c r="AM531" i="1" s="1"/>
  <c r="AI531" i="1"/>
  <c r="AK530" i="1"/>
  <c r="AJ530" i="1"/>
  <c r="AI530" i="1"/>
  <c r="AK529" i="1"/>
  <c r="AJ529" i="1"/>
  <c r="AI529" i="1"/>
  <c r="AK528" i="1"/>
  <c r="AJ528" i="1"/>
  <c r="AI528" i="1"/>
  <c r="AK527" i="1"/>
  <c r="AJ527" i="1"/>
  <c r="AI527" i="1"/>
  <c r="AK526" i="1"/>
  <c r="AJ526" i="1"/>
  <c r="AI526" i="1"/>
  <c r="AK525" i="1"/>
  <c r="AJ525" i="1"/>
  <c r="AI525" i="1"/>
  <c r="AK524" i="1"/>
  <c r="AJ524" i="1"/>
  <c r="AI524" i="1"/>
  <c r="AK523" i="1"/>
  <c r="AJ523" i="1"/>
  <c r="AI523" i="1"/>
  <c r="AK522" i="1"/>
  <c r="AJ522" i="1"/>
  <c r="AI522" i="1"/>
  <c r="AK521" i="1"/>
  <c r="AJ521" i="1"/>
  <c r="AI521" i="1"/>
  <c r="AK520" i="1"/>
  <c r="AJ520" i="1"/>
  <c r="AM520" i="1" s="1"/>
  <c r="AI520" i="1"/>
  <c r="AK519" i="1"/>
  <c r="AJ519" i="1"/>
  <c r="AI519" i="1"/>
  <c r="AK518" i="1"/>
  <c r="AJ518" i="1"/>
  <c r="AI518" i="1"/>
  <c r="AK517" i="1"/>
  <c r="AJ517" i="1"/>
  <c r="AI517" i="1"/>
  <c r="AK516" i="1"/>
  <c r="AJ516" i="1"/>
  <c r="AI516" i="1"/>
  <c r="AK515" i="1"/>
  <c r="AJ515" i="1"/>
  <c r="AI515" i="1"/>
  <c r="AK514" i="1"/>
  <c r="AJ514" i="1"/>
  <c r="AI514" i="1"/>
  <c r="AK513" i="1"/>
  <c r="AJ513" i="1"/>
  <c r="AI513" i="1"/>
  <c r="AK512" i="1"/>
  <c r="AJ512" i="1"/>
  <c r="AI512" i="1"/>
  <c r="AK511" i="1"/>
  <c r="AJ511" i="1"/>
  <c r="AI511" i="1"/>
  <c r="AK510" i="1"/>
  <c r="AJ510" i="1"/>
  <c r="AI510" i="1"/>
  <c r="AK509" i="1"/>
  <c r="AJ509" i="1"/>
  <c r="AI509" i="1"/>
  <c r="AK508" i="1"/>
  <c r="AJ508" i="1"/>
  <c r="AM508" i="1" s="1"/>
  <c r="AI508" i="1"/>
  <c r="AK507" i="1"/>
  <c r="AJ507" i="1"/>
  <c r="AM507" i="1" s="1"/>
  <c r="AI507" i="1"/>
  <c r="AK506" i="1"/>
  <c r="AJ506" i="1"/>
  <c r="AI506" i="1"/>
  <c r="AK505" i="1"/>
  <c r="AJ505" i="1"/>
  <c r="AI505" i="1"/>
  <c r="AK504" i="1"/>
  <c r="AJ504" i="1"/>
  <c r="AM504" i="1" s="1"/>
  <c r="AI504" i="1"/>
  <c r="AK503" i="1"/>
  <c r="AJ503" i="1"/>
  <c r="AI503" i="1"/>
  <c r="AK502" i="1"/>
  <c r="AJ502" i="1"/>
  <c r="AI502" i="1"/>
  <c r="AK501" i="1"/>
  <c r="AJ501" i="1"/>
  <c r="AI501" i="1"/>
  <c r="AK500" i="1"/>
  <c r="AJ500" i="1"/>
  <c r="AI500" i="1"/>
  <c r="AK499" i="1"/>
  <c r="AJ499" i="1"/>
  <c r="AI499" i="1"/>
  <c r="AK498" i="1"/>
  <c r="AJ498" i="1"/>
  <c r="AI498" i="1"/>
  <c r="AK497" i="1"/>
  <c r="AJ497" i="1"/>
  <c r="AI497" i="1"/>
  <c r="AK496" i="1"/>
  <c r="AJ496" i="1"/>
  <c r="AI496" i="1"/>
  <c r="AK495" i="1"/>
  <c r="AJ495" i="1"/>
  <c r="AI495" i="1"/>
  <c r="AK494" i="1"/>
  <c r="AJ494" i="1"/>
  <c r="AI494" i="1"/>
  <c r="AK493" i="1"/>
  <c r="AJ493" i="1"/>
  <c r="AI493" i="1"/>
  <c r="AK492" i="1"/>
  <c r="AJ492" i="1"/>
  <c r="AM492" i="1" s="1"/>
  <c r="AI492" i="1"/>
  <c r="AK491" i="1"/>
  <c r="AJ491" i="1"/>
  <c r="AI491" i="1"/>
  <c r="AK490" i="1"/>
  <c r="AJ490" i="1"/>
  <c r="AM490" i="1" s="1"/>
  <c r="AI490" i="1"/>
  <c r="AK489" i="1"/>
  <c r="AJ489" i="1"/>
  <c r="AI489" i="1"/>
  <c r="AK488" i="1"/>
  <c r="AJ488" i="1"/>
  <c r="AI488" i="1"/>
  <c r="AK487" i="1"/>
  <c r="AJ487" i="1"/>
  <c r="AI487" i="1"/>
  <c r="AK486" i="1"/>
  <c r="AJ486" i="1"/>
  <c r="AM486" i="1" s="1"/>
  <c r="AI486" i="1"/>
  <c r="AK485" i="1"/>
  <c r="AJ485" i="1"/>
  <c r="AI485" i="1"/>
  <c r="AK484" i="1"/>
  <c r="AM484" i="1" s="1"/>
  <c r="AJ484" i="1"/>
  <c r="AI484" i="1"/>
  <c r="AK483" i="1"/>
  <c r="AJ483" i="1"/>
  <c r="AI483" i="1"/>
  <c r="AN483" i="1" s="1"/>
  <c r="AM482" i="1"/>
  <c r="AK482" i="1"/>
  <c r="AJ482" i="1"/>
  <c r="AI482" i="1"/>
  <c r="AK481" i="1"/>
  <c r="AJ481" i="1"/>
  <c r="AI481" i="1"/>
  <c r="AK480" i="1"/>
  <c r="AJ480" i="1"/>
  <c r="AI480" i="1"/>
  <c r="AK479" i="1"/>
  <c r="AJ479" i="1"/>
  <c r="AI479" i="1"/>
  <c r="AK478" i="1"/>
  <c r="AJ478" i="1"/>
  <c r="AM478" i="1" s="1"/>
  <c r="AI478" i="1"/>
  <c r="AK477" i="1"/>
  <c r="AJ477" i="1"/>
  <c r="AI477" i="1"/>
  <c r="AK476" i="1"/>
  <c r="AJ476" i="1"/>
  <c r="AI476" i="1"/>
  <c r="AK475" i="1"/>
  <c r="AJ475" i="1"/>
  <c r="AM475" i="1" s="1"/>
  <c r="AI475" i="1"/>
  <c r="AN475" i="1" s="1"/>
  <c r="AK474" i="1"/>
  <c r="AJ474" i="1"/>
  <c r="AI474" i="1"/>
  <c r="AK473" i="1"/>
  <c r="AJ473" i="1"/>
  <c r="AI473" i="1"/>
  <c r="AK472" i="1"/>
  <c r="AJ472" i="1"/>
  <c r="AI472" i="1"/>
  <c r="AK471" i="1"/>
  <c r="AJ471" i="1"/>
  <c r="AI471" i="1"/>
  <c r="AN471" i="1" s="1"/>
  <c r="AK470" i="1"/>
  <c r="AJ470" i="1"/>
  <c r="AI470" i="1"/>
  <c r="AK469" i="1"/>
  <c r="AJ469" i="1"/>
  <c r="AI469" i="1"/>
  <c r="AK468" i="1"/>
  <c r="AJ468" i="1"/>
  <c r="AM468" i="1" s="1"/>
  <c r="AI468" i="1"/>
  <c r="AK467" i="1"/>
  <c r="AJ467" i="1"/>
  <c r="AI467" i="1"/>
  <c r="AN467" i="1" s="1"/>
  <c r="AK466" i="1"/>
  <c r="AJ466" i="1"/>
  <c r="AI466" i="1"/>
  <c r="AK465" i="1"/>
  <c r="AJ465" i="1"/>
  <c r="AM465" i="1" s="1"/>
  <c r="AI465" i="1"/>
  <c r="AK464" i="1"/>
  <c r="AJ464" i="1"/>
  <c r="AI464" i="1"/>
  <c r="AK463" i="1"/>
  <c r="AJ463" i="1"/>
  <c r="AI463" i="1"/>
  <c r="AK462" i="1"/>
  <c r="AJ462" i="1"/>
  <c r="AI462" i="1"/>
  <c r="AK461" i="1"/>
  <c r="AJ461" i="1"/>
  <c r="AI461" i="1"/>
  <c r="AK460" i="1"/>
  <c r="AJ460" i="1"/>
  <c r="AM460" i="1" s="1"/>
  <c r="AI460" i="1"/>
  <c r="AK459" i="1"/>
  <c r="AJ459" i="1"/>
  <c r="AI459" i="1"/>
  <c r="AK458" i="1"/>
  <c r="AJ458" i="1"/>
  <c r="AM458" i="1" s="1"/>
  <c r="AI458" i="1"/>
  <c r="AK457" i="1"/>
  <c r="AJ457" i="1"/>
  <c r="AI457" i="1"/>
  <c r="AK456" i="1"/>
  <c r="AJ456" i="1"/>
  <c r="AI456" i="1"/>
  <c r="AK455" i="1"/>
  <c r="AJ455" i="1"/>
  <c r="AI455" i="1"/>
  <c r="AK454" i="1"/>
  <c r="AJ454" i="1"/>
  <c r="AM454" i="1" s="1"/>
  <c r="AI454" i="1"/>
  <c r="AK453" i="1"/>
  <c r="AJ453" i="1"/>
  <c r="AI453" i="1"/>
  <c r="AK452" i="1"/>
  <c r="AJ452" i="1"/>
  <c r="AI452" i="1"/>
  <c r="AK451" i="1"/>
  <c r="AJ451" i="1"/>
  <c r="AI451" i="1"/>
  <c r="AK450" i="1"/>
  <c r="AJ450" i="1"/>
  <c r="AL450" i="1" s="1"/>
  <c r="AI450" i="1"/>
  <c r="AK449" i="1"/>
  <c r="AJ449" i="1"/>
  <c r="AI449" i="1"/>
  <c r="AK448" i="1"/>
  <c r="AJ448" i="1"/>
  <c r="AI448" i="1"/>
  <c r="AK447" i="1"/>
  <c r="AJ447" i="1"/>
  <c r="AI447" i="1"/>
  <c r="AK446" i="1"/>
  <c r="AJ446" i="1"/>
  <c r="AI446" i="1"/>
  <c r="AK445" i="1"/>
  <c r="AJ445" i="1"/>
  <c r="AI445" i="1"/>
  <c r="AK444" i="1"/>
  <c r="AJ444" i="1"/>
  <c r="AI444" i="1"/>
  <c r="AK443" i="1"/>
  <c r="AJ443" i="1"/>
  <c r="AI443" i="1"/>
  <c r="AK442" i="1"/>
  <c r="AJ442" i="1"/>
  <c r="AI442" i="1"/>
  <c r="AK441" i="1"/>
  <c r="AJ441" i="1"/>
  <c r="AI441" i="1"/>
  <c r="AK440" i="1"/>
  <c r="AJ440" i="1"/>
  <c r="AI440" i="1"/>
  <c r="AK439" i="1"/>
  <c r="AJ439" i="1"/>
  <c r="AI439" i="1"/>
  <c r="AK438" i="1"/>
  <c r="AJ438" i="1"/>
  <c r="AM438" i="1" s="1"/>
  <c r="AI438" i="1"/>
  <c r="AK437" i="1"/>
  <c r="AJ437" i="1"/>
  <c r="AI437" i="1"/>
  <c r="AK436" i="1"/>
  <c r="AJ436" i="1"/>
  <c r="AI436" i="1"/>
  <c r="AK435" i="1"/>
  <c r="AJ435" i="1"/>
  <c r="AI435" i="1"/>
  <c r="AK434" i="1"/>
  <c r="AJ434" i="1"/>
  <c r="AI434" i="1"/>
  <c r="AK433" i="1"/>
  <c r="AJ433" i="1"/>
  <c r="AI433" i="1"/>
  <c r="AK432" i="1"/>
  <c r="AJ432" i="1"/>
  <c r="AI432" i="1"/>
  <c r="AK431" i="1"/>
  <c r="AJ431" i="1"/>
  <c r="AI431" i="1"/>
  <c r="AK430" i="1"/>
  <c r="AJ430" i="1"/>
  <c r="AI430" i="1"/>
  <c r="AK429" i="1"/>
  <c r="AJ429" i="1"/>
  <c r="AI429" i="1"/>
  <c r="AK428" i="1"/>
  <c r="AJ428" i="1"/>
  <c r="AI428" i="1"/>
  <c r="AK427" i="1"/>
  <c r="AJ427" i="1"/>
  <c r="AI427" i="1"/>
  <c r="AK426" i="1"/>
  <c r="AJ426" i="1"/>
  <c r="AI426" i="1"/>
  <c r="AK425" i="1"/>
  <c r="AJ425" i="1"/>
  <c r="AI425" i="1"/>
  <c r="AK424" i="1"/>
  <c r="AJ424" i="1"/>
  <c r="AI424" i="1"/>
  <c r="AK423" i="1"/>
  <c r="AJ423" i="1"/>
  <c r="AI423" i="1"/>
  <c r="AK422" i="1"/>
  <c r="AJ422" i="1"/>
  <c r="AI422" i="1"/>
  <c r="AK421" i="1"/>
  <c r="AJ421" i="1"/>
  <c r="AI421" i="1"/>
  <c r="AK420" i="1"/>
  <c r="AJ420" i="1"/>
  <c r="AI420" i="1"/>
  <c r="AK419" i="1"/>
  <c r="AJ419" i="1"/>
  <c r="AI419" i="1"/>
  <c r="AK418" i="1"/>
  <c r="AJ418" i="1"/>
  <c r="AI418" i="1"/>
  <c r="AK417" i="1"/>
  <c r="AJ417" i="1"/>
  <c r="AI417" i="1"/>
  <c r="AK416" i="1"/>
  <c r="AJ416" i="1"/>
  <c r="AI416" i="1"/>
  <c r="AK415" i="1"/>
  <c r="AJ415" i="1"/>
  <c r="AI415" i="1"/>
  <c r="AK414" i="1"/>
  <c r="AJ414" i="1"/>
  <c r="AI414" i="1"/>
  <c r="AK413" i="1"/>
  <c r="AJ413" i="1"/>
  <c r="AI413" i="1"/>
  <c r="AK412" i="1"/>
  <c r="AJ412" i="1"/>
  <c r="AI412" i="1"/>
  <c r="AK411" i="1"/>
  <c r="AJ411" i="1"/>
  <c r="AI411" i="1"/>
  <c r="AK410" i="1"/>
  <c r="AJ410" i="1"/>
  <c r="AI410" i="1"/>
  <c r="AK409" i="1"/>
  <c r="AJ409" i="1"/>
  <c r="AI409" i="1"/>
  <c r="AK408" i="1"/>
  <c r="AJ408" i="1"/>
  <c r="AI408" i="1"/>
  <c r="AK407" i="1"/>
  <c r="AJ407" i="1"/>
  <c r="AI407" i="1"/>
  <c r="AK406" i="1"/>
  <c r="AJ406" i="1"/>
  <c r="AI406" i="1"/>
  <c r="AK405" i="1"/>
  <c r="AJ405" i="1"/>
  <c r="AI405" i="1"/>
  <c r="AK404" i="1"/>
  <c r="AJ404" i="1"/>
  <c r="AI404" i="1"/>
  <c r="AK403" i="1"/>
  <c r="AJ403" i="1"/>
  <c r="AI403" i="1"/>
  <c r="AK402" i="1"/>
  <c r="AJ402" i="1"/>
  <c r="AI402" i="1"/>
  <c r="AK401" i="1"/>
  <c r="AJ401" i="1"/>
  <c r="AI401" i="1"/>
  <c r="AK400" i="1"/>
  <c r="AJ400" i="1"/>
  <c r="AI400" i="1"/>
  <c r="AK399" i="1"/>
  <c r="AJ399" i="1"/>
  <c r="AI399" i="1"/>
  <c r="AK398" i="1"/>
  <c r="AJ398" i="1"/>
  <c r="AI398" i="1"/>
  <c r="AI397" i="1"/>
  <c r="AK396" i="1"/>
  <c r="AJ396" i="1"/>
  <c r="AI396" i="1"/>
  <c r="AK395" i="1"/>
  <c r="AJ395" i="1"/>
  <c r="AI395" i="1"/>
  <c r="AK394" i="1"/>
  <c r="AJ394" i="1"/>
  <c r="AI394" i="1"/>
  <c r="AK393" i="1"/>
  <c r="AJ393" i="1"/>
  <c r="AI393" i="1"/>
  <c r="AK392" i="1"/>
  <c r="AJ392" i="1"/>
  <c r="AI392" i="1"/>
  <c r="AK391" i="1"/>
  <c r="AJ391" i="1"/>
  <c r="AI391" i="1"/>
  <c r="AK390" i="1"/>
  <c r="AJ390" i="1"/>
  <c r="AI390" i="1"/>
  <c r="AK389" i="1"/>
  <c r="AJ389" i="1"/>
  <c r="AI389" i="1"/>
  <c r="AK388" i="1"/>
  <c r="AJ388" i="1"/>
  <c r="AI388" i="1"/>
  <c r="AK387" i="1"/>
  <c r="AJ387" i="1"/>
  <c r="AI387" i="1"/>
  <c r="AK386" i="1"/>
  <c r="AJ386" i="1"/>
  <c r="AI386" i="1"/>
  <c r="AK385" i="1"/>
  <c r="AJ385" i="1"/>
  <c r="AI385" i="1"/>
  <c r="AK384" i="1"/>
  <c r="AJ384" i="1"/>
  <c r="AI384" i="1"/>
  <c r="AK383" i="1"/>
  <c r="AJ383" i="1"/>
  <c r="AI383" i="1"/>
  <c r="AK382" i="1"/>
  <c r="AJ382" i="1"/>
  <c r="AI382" i="1"/>
  <c r="AK381" i="1"/>
  <c r="AJ381" i="1"/>
  <c r="AI381" i="1"/>
  <c r="AK380" i="1"/>
  <c r="AJ380" i="1"/>
  <c r="AI380" i="1"/>
  <c r="AK379" i="1"/>
  <c r="AJ379" i="1"/>
  <c r="AI379" i="1"/>
  <c r="AK378" i="1"/>
  <c r="AJ378" i="1"/>
  <c r="AI378" i="1"/>
  <c r="AK377" i="1"/>
  <c r="AJ377" i="1"/>
  <c r="AI377" i="1"/>
  <c r="AK376" i="1"/>
  <c r="AJ376" i="1"/>
  <c r="AI376" i="1"/>
  <c r="AK375" i="1"/>
  <c r="AJ375" i="1"/>
  <c r="AI375" i="1"/>
  <c r="AK374" i="1"/>
  <c r="AJ374" i="1"/>
  <c r="AI374" i="1"/>
  <c r="AK373" i="1"/>
  <c r="AJ373" i="1"/>
  <c r="AI373" i="1"/>
  <c r="AK372" i="1"/>
  <c r="AJ372" i="1"/>
  <c r="AI372" i="1"/>
  <c r="AK371" i="1"/>
  <c r="AJ371" i="1"/>
  <c r="AI371" i="1"/>
  <c r="AK370" i="1"/>
  <c r="AJ370" i="1"/>
  <c r="AI370" i="1"/>
  <c r="AK369" i="1"/>
  <c r="AJ369" i="1"/>
  <c r="AI369" i="1"/>
  <c r="AK368" i="1"/>
  <c r="AJ368" i="1"/>
  <c r="AI368" i="1"/>
  <c r="AK367" i="1"/>
  <c r="AJ367" i="1"/>
  <c r="AI367" i="1"/>
  <c r="AK366" i="1"/>
  <c r="AJ366" i="1"/>
  <c r="AI366" i="1"/>
  <c r="AK365" i="1"/>
  <c r="AJ365" i="1"/>
  <c r="AI365" i="1"/>
  <c r="AK364" i="1"/>
  <c r="AJ364" i="1"/>
  <c r="AI364" i="1"/>
  <c r="AK363" i="1"/>
  <c r="AJ363" i="1"/>
  <c r="AI363" i="1"/>
  <c r="AK362" i="1"/>
  <c r="AJ362" i="1"/>
  <c r="AI362" i="1"/>
  <c r="AK361" i="1"/>
  <c r="AJ361" i="1"/>
  <c r="AI361" i="1"/>
  <c r="AK360" i="1"/>
  <c r="AJ360" i="1"/>
  <c r="AI360" i="1"/>
  <c r="AK359" i="1"/>
  <c r="AJ359" i="1"/>
  <c r="AI359" i="1"/>
  <c r="AK358" i="1"/>
  <c r="AJ358" i="1"/>
  <c r="AI358" i="1"/>
  <c r="AK357" i="1"/>
  <c r="AJ357" i="1"/>
  <c r="AI357" i="1"/>
  <c r="AK356" i="1"/>
  <c r="AJ356" i="1"/>
  <c r="AI356" i="1"/>
  <c r="AK355" i="1"/>
  <c r="AJ355" i="1"/>
  <c r="AI355" i="1"/>
  <c r="AK354" i="1"/>
  <c r="AJ354" i="1"/>
  <c r="AI354" i="1"/>
  <c r="AK353" i="1"/>
  <c r="AJ353" i="1"/>
  <c r="AI353" i="1"/>
  <c r="AK352" i="1"/>
  <c r="AJ352" i="1"/>
  <c r="AI352" i="1"/>
  <c r="AK351" i="1"/>
  <c r="AJ351" i="1"/>
  <c r="AI351" i="1"/>
  <c r="AK350" i="1"/>
  <c r="AJ350" i="1"/>
  <c r="AI350" i="1"/>
  <c r="AK349" i="1"/>
  <c r="AJ349" i="1"/>
  <c r="AI349" i="1"/>
  <c r="AK348" i="1"/>
  <c r="AJ348" i="1"/>
  <c r="AI348" i="1"/>
  <c r="AK347" i="1"/>
  <c r="AJ347" i="1"/>
  <c r="AI347" i="1"/>
  <c r="AK346" i="1"/>
  <c r="AJ346" i="1"/>
  <c r="AI346" i="1"/>
  <c r="AK345" i="1"/>
  <c r="AJ345" i="1"/>
  <c r="AI345" i="1"/>
  <c r="AK344" i="1"/>
  <c r="AJ344" i="1"/>
  <c r="AI344" i="1"/>
  <c r="AK343" i="1"/>
  <c r="AJ343" i="1"/>
  <c r="AI343" i="1"/>
  <c r="AK342" i="1"/>
  <c r="AJ342" i="1"/>
  <c r="AI342" i="1"/>
  <c r="AK341" i="1"/>
  <c r="AJ341" i="1"/>
  <c r="AI341" i="1"/>
  <c r="AK340" i="1"/>
  <c r="AJ340" i="1"/>
  <c r="AI340" i="1"/>
  <c r="AK339" i="1"/>
  <c r="AJ339" i="1"/>
  <c r="AI339" i="1"/>
  <c r="AK338" i="1"/>
  <c r="AJ338" i="1"/>
  <c r="AI338" i="1"/>
  <c r="AK337" i="1"/>
  <c r="AJ337" i="1"/>
  <c r="AI337" i="1"/>
  <c r="AK336" i="1"/>
  <c r="AJ336" i="1"/>
  <c r="AI336" i="1"/>
  <c r="AK335" i="1"/>
  <c r="AJ335" i="1"/>
  <c r="AI335" i="1"/>
  <c r="AK334" i="1"/>
  <c r="AJ334" i="1"/>
  <c r="AI334" i="1"/>
  <c r="AK333" i="1"/>
  <c r="AJ333" i="1"/>
  <c r="AI333" i="1"/>
  <c r="AK332" i="1"/>
  <c r="AJ332" i="1"/>
  <c r="AI332" i="1"/>
  <c r="AK331" i="1"/>
  <c r="AJ331" i="1"/>
  <c r="AI331" i="1"/>
  <c r="AK330" i="1"/>
  <c r="AJ330" i="1"/>
  <c r="AI330" i="1"/>
  <c r="AK329" i="1"/>
  <c r="AJ329" i="1"/>
  <c r="AI329" i="1"/>
  <c r="AK328" i="1"/>
  <c r="AJ328" i="1"/>
  <c r="AI328" i="1"/>
  <c r="AK327" i="1"/>
  <c r="AJ327" i="1"/>
  <c r="AI327" i="1"/>
  <c r="AK326" i="1"/>
  <c r="AJ326" i="1"/>
  <c r="AI326" i="1"/>
  <c r="AK325" i="1"/>
  <c r="AJ325" i="1"/>
  <c r="AI325" i="1"/>
  <c r="AK324" i="1"/>
  <c r="AJ324" i="1"/>
  <c r="AI324" i="1"/>
  <c r="AK323" i="1"/>
  <c r="AJ323" i="1"/>
  <c r="AI323" i="1"/>
  <c r="AK322" i="1"/>
  <c r="AJ322" i="1"/>
  <c r="AI322" i="1"/>
  <c r="AK321" i="1"/>
  <c r="AJ321" i="1"/>
  <c r="AI321" i="1"/>
  <c r="AK320" i="1"/>
  <c r="AJ320" i="1"/>
  <c r="AI320" i="1"/>
  <c r="AK319" i="1"/>
  <c r="AJ319" i="1"/>
  <c r="AI319" i="1"/>
  <c r="AK318" i="1"/>
  <c r="AJ318" i="1"/>
  <c r="AI318" i="1"/>
  <c r="AK317" i="1"/>
  <c r="AJ317" i="1"/>
  <c r="AI317" i="1"/>
  <c r="AK316" i="1"/>
  <c r="AJ316" i="1"/>
  <c r="AI316" i="1"/>
  <c r="AK315" i="1"/>
  <c r="AJ315" i="1"/>
  <c r="AI315" i="1"/>
  <c r="AK314" i="1"/>
  <c r="AJ314" i="1"/>
  <c r="AI314" i="1"/>
  <c r="AK313" i="1"/>
  <c r="AJ313" i="1"/>
  <c r="AI313" i="1"/>
  <c r="AK312" i="1"/>
  <c r="AJ312" i="1"/>
  <c r="AI312" i="1"/>
  <c r="AK311" i="1"/>
  <c r="AJ311" i="1"/>
  <c r="AI311" i="1"/>
  <c r="AK310" i="1"/>
  <c r="AJ310" i="1"/>
  <c r="AI310" i="1"/>
  <c r="AK309" i="1"/>
  <c r="AJ309" i="1"/>
  <c r="AI309" i="1"/>
  <c r="AK308" i="1"/>
  <c r="AJ308" i="1"/>
  <c r="AI308" i="1"/>
  <c r="AK307" i="1"/>
  <c r="AJ307" i="1"/>
  <c r="AI307" i="1"/>
  <c r="AK306" i="1"/>
  <c r="AJ306" i="1"/>
  <c r="AI306" i="1"/>
  <c r="AK139" i="1"/>
  <c r="AJ139" i="1"/>
  <c r="AI139" i="1"/>
  <c r="AK138" i="1"/>
  <c r="AJ138" i="1"/>
  <c r="AI138" i="1"/>
  <c r="AK137" i="1"/>
  <c r="AJ137" i="1"/>
  <c r="AI137" i="1"/>
  <c r="AK136" i="1"/>
  <c r="AJ136" i="1"/>
  <c r="AI136" i="1"/>
  <c r="AK135" i="1"/>
  <c r="AJ135" i="1"/>
  <c r="AI135" i="1"/>
  <c r="AK134" i="1"/>
  <c r="AJ134" i="1"/>
  <c r="AI134" i="1"/>
  <c r="AK133" i="1"/>
  <c r="AJ133" i="1"/>
  <c r="AI133" i="1"/>
  <c r="AK132" i="1"/>
  <c r="AJ132" i="1"/>
  <c r="AI132" i="1"/>
  <c r="AK131" i="1"/>
  <c r="AJ131" i="1"/>
  <c r="AI131" i="1"/>
  <c r="AK130" i="1"/>
  <c r="AJ130" i="1"/>
  <c r="AI130" i="1"/>
  <c r="AK129" i="1"/>
  <c r="AJ129" i="1"/>
  <c r="AI129" i="1"/>
  <c r="AK128" i="1"/>
  <c r="AJ128" i="1"/>
  <c r="AI128" i="1"/>
  <c r="AK127" i="1"/>
  <c r="AJ127" i="1"/>
  <c r="AI127" i="1"/>
  <c r="AK126" i="1"/>
  <c r="AJ126" i="1"/>
  <c r="AI126" i="1"/>
  <c r="AK125" i="1"/>
  <c r="AJ125" i="1"/>
  <c r="AI125" i="1"/>
  <c r="AK124" i="1"/>
  <c r="AJ124" i="1"/>
  <c r="AI124" i="1"/>
  <c r="AK123" i="1"/>
  <c r="AJ123" i="1"/>
  <c r="AI123" i="1"/>
  <c r="AK122" i="1"/>
  <c r="AJ122" i="1"/>
  <c r="AI122" i="1"/>
  <c r="AK121" i="1"/>
  <c r="AJ121" i="1"/>
  <c r="AI121" i="1"/>
  <c r="AK120" i="1"/>
  <c r="AJ120" i="1"/>
  <c r="AI120" i="1"/>
  <c r="AK119" i="1"/>
  <c r="AJ119" i="1"/>
  <c r="AI119" i="1"/>
  <c r="AK118" i="1"/>
  <c r="AJ118" i="1"/>
  <c r="AI118" i="1"/>
  <c r="AK117" i="1"/>
  <c r="AJ117" i="1"/>
  <c r="AI117" i="1"/>
  <c r="AK116" i="1"/>
  <c r="AJ116" i="1"/>
  <c r="AI116" i="1"/>
  <c r="AK115" i="1"/>
  <c r="AJ115" i="1"/>
  <c r="AI115" i="1"/>
  <c r="AN115" i="1" s="1"/>
  <c r="AK114" i="1"/>
  <c r="AJ114" i="1"/>
  <c r="AI114" i="1"/>
  <c r="AK113" i="1"/>
  <c r="AJ113" i="1"/>
  <c r="AI113" i="1"/>
  <c r="AK112" i="1"/>
  <c r="AJ112" i="1"/>
  <c r="AI112" i="1"/>
  <c r="AK111" i="1"/>
  <c r="AJ111" i="1"/>
  <c r="AI111" i="1"/>
  <c r="AK110" i="1"/>
  <c r="AJ110" i="1"/>
  <c r="AI110" i="1"/>
  <c r="AK109" i="1"/>
  <c r="AJ109" i="1"/>
  <c r="AI109" i="1"/>
  <c r="AK108" i="1"/>
  <c r="AJ108" i="1"/>
  <c r="AI108" i="1"/>
  <c r="AK107" i="1"/>
  <c r="AJ107" i="1"/>
  <c r="AI107" i="1"/>
  <c r="AK106" i="1"/>
  <c r="AJ106" i="1"/>
  <c r="AI106" i="1"/>
  <c r="AK105" i="1"/>
  <c r="AJ105" i="1"/>
  <c r="AI105" i="1"/>
  <c r="AK104" i="1"/>
  <c r="AJ104" i="1"/>
  <c r="AI104" i="1"/>
  <c r="AK103" i="1"/>
  <c r="AJ103" i="1"/>
  <c r="AI103" i="1"/>
  <c r="AK102" i="1"/>
  <c r="AJ102" i="1"/>
  <c r="AI102" i="1"/>
  <c r="AK101" i="1"/>
  <c r="AJ101" i="1"/>
  <c r="AI101" i="1"/>
  <c r="AK100" i="1"/>
  <c r="AJ100" i="1"/>
  <c r="AI100" i="1"/>
  <c r="AK99" i="1"/>
  <c r="AJ99" i="1"/>
  <c r="AI99" i="1"/>
  <c r="AN99" i="1" s="1"/>
  <c r="AK98" i="1"/>
  <c r="AJ98" i="1"/>
  <c r="AI98" i="1"/>
  <c r="AK97" i="1"/>
  <c r="AJ97" i="1"/>
  <c r="AI97" i="1"/>
  <c r="AK96" i="1"/>
  <c r="AJ96" i="1"/>
  <c r="AI96" i="1"/>
  <c r="AK95" i="1"/>
  <c r="AJ95" i="1"/>
  <c r="AI95" i="1"/>
  <c r="AK94" i="1"/>
  <c r="AJ94" i="1"/>
  <c r="AI94" i="1"/>
  <c r="AK93" i="1"/>
  <c r="AJ93" i="1"/>
  <c r="AI93" i="1"/>
  <c r="AK92" i="1"/>
  <c r="AJ92" i="1"/>
  <c r="AI92" i="1"/>
  <c r="AK91" i="1"/>
  <c r="AJ91" i="1"/>
  <c r="AI91" i="1"/>
  <c r="AK90" i="1"/>
  <c r="AJ90" i="1"/>
  <c r="AI90" i="1"/>
  <c r="AK89" i="1"/>
  <c r="AJ89" i="1"/>
  <c r="AI89" i="1"/>
  <c r="AK88" i="1"/>
  <c r="AJ88" i="1"/>
  <c r="AI88" i="1"/>
  <c r="AK87" i="1"/>
  <c r="AJ87" i="1"/>
  <c r="AI87" i="1"/>
  <c r="AK86" i="1"/>
  <c r="AJ86" i="1"/>
  <c r="AI86" i="1"/>
  <c r="AK85" i="1"/>
  <c r="AJ85" i="1"/>
  <c r="AI85" i="1"/>
  <c r="AK84" i="1"/>
  <c r="AJ84" i="1"/>
  <c r="AI84" i="1"/>
  <c r="AK83" i="1"/>
  <c r="AJ83" i="1"/>
  <c r="AI83" i="1"/>
  <c r="AK82" i="1"/>
  <c r="AJ82" i="1"/>
  <c r="AI82" i="1"/>
  <c r="AK81" i="1"/>
  <c r="AJ81" i="1"/>
  <c r="AI81" i="1"/>
  <c r="AK80" i="1"/>
  <c r="AJ80" i="1"/>
  <c r="AI80" i="1"/>
  <c r="AK79" i="1"/>
  <c r="AJ79" i="1"/>
  <c r="AI79" i="1"/>
  <c r="AK78" i="1"/>
  <c r="AJ78" i="1"/>
  <c r="AI78" i="1"/>
  <c r="AK77" i="1"/>
  <c r="AJ77" i="1"/>
  <c r="AI77" i="1"/>
  <c r="AK76" i="1"/>
  <c r="AJ76" i="1"/>
  <c r="AI76" i="1"/>
  <c r="AK75" i="1"/>
  <c r="AJ75" i="1"/>
  <c r="AI75" i="1"/>
  <c r="AK74" i="1"/>
  <c r="AJ74" i="1"/>
  <c r="AI74" i="1"/>
  <c r="AK73" i="1"/>
  <c r="AJ73" i="1"/>
  <c r="AI73" i="1"/>
  <c r="AK72" i="1"/>
  <c r="AJ72" i="1"/>
  <c r="AI72" i="1"/>
  <c r="AK71" i="1"/>
  <c r="AJ71" i="1"/>
  <c r="AI71" i="1"/>
  <c r="AK70" i="1"/>
  <c r="AJ70" i="1"/>
  <c r="AI70" i="1"/>
  <c r="AK69" i="1"/>
  <c r="AJ69" i="1"/>
  <c r="AI69" i="1"/>
  <c r="AK68" i="1"/>
  <c r="AJ68" i="1"/>
  <c r="AI68" i="1"/>
  <c r="AK67" i="1"/>
  <c r="AJ67" i="1"/>
  <c r="AI67" i="1"/>
  <c r="AK66" i="1"/>
  <c r="AJ66" i="1"/>
  <c r="AI66" i="1"/>
  <c r="AK65" i="1"/>
  <c r="AJ65" i="1"/>
  <c r="AI65" i="1"/>
  <c r="AK64" i="1"/>
  <c r="AJ64" i="1"/>
  <c r="AI64" i="1"/>
  <c r="AK63" i="1"/>
  <c r="AJ63" i="1"/>
  <c r="AI63" i="1"/>
  <c r="AK62" i="1"/>
  <c r="AJ62" i="1"/>
  <c r="AI62" i="1"/>
  <c r="AK61" i="1"/>
  <c r="AJ61" i="1"/>
  <c r="AI61" i="1"/>
  <c r="AK60" i="1"/>
  <c r="AJ60" i="1"/>
  <c r="AI60" i="1"/>
  <c r="AK59" i="1"/>
  <c r="AJ59" i="1"/>
  <c r="AI59" i="1"/>
  <c r="AK58" i="1"/>
  <c r="AJ58" i="1"/>
  <c r="AI58" i="1"/>
  <c r="AK57" i="1"/>
  <c r="AJ57" i="1"/>
  <c r="AI57" i="1"/>
  <c r="AK56" i="1"/>
  <c r="AJ56" i="1"/>
  <c r="AI56" i="1"/>
  <c r="AK55" i="1"/>
  <c r="AJ55" i="1"/>
  <c r="AI55" i="1"/>
  <c r="AK54" i="1"/>
  <c r="AJ54" i="1"/>
  <c r="AI54" i="1"/>
  <c r="AK53" i="1"/>
  <c r="AJ53" i="1"/>
  <c r="AI53" i="1"/>
  <c r="AK52" i="1"/>
  <c r="AJ52" i="1"/>
  <c r="AI52" i="1"/>
  <c r="AK51" i="1"/>
  <c r="AJ51" i="1"/>
  <c r="AI51" i="1"/>
  <c r="AK50" i="1"/>
  <c r="AJ50" i="1"/>
  <c r="AI50" i="1"/>
  <c r="AK49" i="1"/>
  <c r="AJ49" i="1"/>
  <c r="AI49" i="1"/>
  <c r="AK48" i="1"/>
  <c r="AJ48" i="1"/>
  <c r="AI48" i="1"/>
  <c r="AK47" i="1"/>
  <c r="AJ47" i="1"/>
  <c r="AI47" i="1"/>
  <c r="AK46" i="1"/>
  <c r="AJ46" i="1"/>
  <c r="AI46" i="1"/>
  <c r="AK45" i="1"/>
  <c r="AJ45" i="1"/>
  <c r="AI45" i="1"/>
  <c r="AK44" i="1"/>
  <c r="AJ44" i="1"/>
  <c r="AI44" i="1"/>
  <c r="AK43" i="1"/>
  <c r="AJ43" i="1"/>
  <c r="AI43" i="1"/>
  <c r="AK42" i="1"/>
  <c r="AJ42" i="1"/>
  <c r="AI42" i="1"/>
  <c r="AK41" i="1"/>
  <c r="AJ41" i="1"/>
  <c r="AI41" i="1"/>
  <c r="AK40" i="1"/>
  <c r="AJ40" i="1"/>
  <c r="AI40" i="1"/>
  <c r="AK39" i="1"/>
  <c r="AJ39" i="1"/>
  <c r="AI39" i="1"/>
  <c r="AK38" i="1"/>
  <c r="AJ38" i="1"/>
  <c r="AI38" i="1"/>
  <c r="AK37" i="1"/>
  <c r="AJ37" i="1"/>
  <c r="AI37" i="1"/>
  <c r="AK36" i="1"/>
  <c r="AJ36" i="1"/>
  <c r="AI36" i="1"/>
  <c r="AK35" i="1"/>
  <c r="AJ35" i="1"/>
  <c r="AI35" i="1"/>
  <c r="AK34" i="1"/>
  <c r="AJ34" i="1"/>
  <c r="AI34" i="1"/>
  <c r="AK33" i="1"/>
  <c r="AJ33" i="1"/>
  <c r="AI33" i="1"/>
  <c r="AK32" i="1"/>
  <c r="AJ32" i="1"/>
  <c r="AI32" i="1"/>
  <c r="AK31" i="1"/>
  <c r="AJ31" i="1"/>
  <c r="AI31" i="1"/>
  <c r="AK30" i="1"/>
  <c r="AJ30" i="1"/>
  <c r="AI30" i="1"/>
  <c r="AK29" i="1"/>
  <c r="AJ29" i="1"/>
  <c r="AI29" i="1"/>
  <c r="AK28" i="1"/>
  <c r="AJ28" i="1"/>
  <c r="AI28" i="1"/>
  <c r="AK27" i="1"/>
  <c r="AJ27" i="1"/>
  <c r="AI27" i="1"/>
  <c r="AK26" i="1"/>
  <c r="AJ26" i="1"/>
  <c r="AI26" i="1"/>
  <c r="AK25" i="1"/>
  <c r="AJ25" i="1"/>
  <c r="AI25" i="1"/>
  <c r="AK24" i="1"/>
  <c r="AJ24" i="1"/>
  <c r="AI24" i="1"/>
  <c r="AK23" i="1"/>
  <c r="AJ23" i="1"/>
  <c r="AI23" i="1"/>
  <c r="AK22" i="1"/>
  <c r="AJ22" i="1"/>
  <c r="AI22" i="1"/>
  <c r="AK21" i="1"/>
  <c r="AJ21" i="1"/>
  <c r="AI21" i="1"/>
  <c r="AK20" i="1"/>
  <c r="AJ20" i="1"/>
  <c r="AI20" i="1"/>
  <c r="AK19" i="1"/>
  <c r="AJ19" i="1"/>
  <c r="AI19" i="1"/>
  <c r="AK18" i="1"/>
  <c r="AJ18" i="1"/>
  <c r="AI18" i="1"/>
  <c r="AK17" i="1"/>
  <c r="AJ17" i="1"/>
  <c r="AI17" i="1"/>
  <c r="AK16" i="1"/>
  <c r="AJ16" i="1"/>
  <c r="AI16" i="1"/>
  <c r="AK15" i="1"/>
  <c r="AJ15" i="1"/>
  <c r="AI15" i="1"/>
  <c r="AK14" i="1"/>
  <c r="AJ14" i="1"/>
  <c r="AI14" i="1"/>
  <c r="AK13" i="1"/>
  <c r="AJ13" i="1"/>
  <c r="AI13" i="1"/>
  <c r="AK12" i="1"/>
  <c r="AJ12" i="1"/>
  <c r="AI12" i="1"/>
  <c r="AK11" i="1"/>
  <c r="AJ11" i="1"/>
  <c r="AI11" i="1"/>
  <c r="AK10" i="1"/>
  <c r="AJ10" i="1"/>
  <c r="AI10" i="1"/>
  <c r="AK9" i="1"/>
  <c r="AJ9" i="1"/>
  <c r="AI9" i="1"/>
  <c r="AK8" i="1"/>
  <c r="AJ8" i="1"/>
  <c r="AI8" i="1"/>
  <c r="AM444" i="1" l="1"/>
  <c r="AM448" i="1"/>
  <c r="AN73" i="1"/>
  <c r="AM428" i="1"/>
  <c r="AN422" i="1"/>
  <c r="AM360" i="1"/>
  <c r="AM368" i="1"/>
  <c r="AM384" i="1"/>
  <c r="AM425" i="1"/>
  <c r="AN435" i="1"/>
  <c r="AM434" i="1"/>
  <c r="AN309" i="1"/>
  <c r="AN103" i="1"/>
  <c r="AN45" i="1"/>
  <c r="AN77" i="1"/>
  <c r="AM326" i="1"/>
  <c r="AN47" i="1"/>
  <c r="AN43" i="1"/>
  <c r="AN41" i="1"/>
  <c r="AM382" i="1"/>
  <c r="AN367" i="1"/>
  <c r="AM113" i="1"/>
  <c r="AN408" i="1"/>
  <c r="AL416" i="1"/>
  <c r="AN18" i="1"/>
  <c r="AN118" i="1"/>
  <c r="AN320" i="1"/>
  <c r="AN368" i="1"/>
  <c r="AM388" i="1"/>
  <c r="AM372" i="1"/>
  <c r="AM364" i="1"/>
  <c r="AN80" i="1"/>
  <c r="AN120" i="1"/>
  <c r="AN370" i="1"/>
  <c r="AN374" i="1"/>
  <c r="AM430" i="1"/>
  <c r="AM429" i="1"/>
  <c r="AN32" i="1"/>
  <c r="AN25" i="1"/>
  <c r="AM418" i="1"/>
  <c r="AN9" i="1"/>
  <c r="AM400" i="1"/>
  <c r="AL396" i="1"/>
  <c r="AN378" i="1"/>
  <c r="AM366" i="1"/>
  <c r="AN363" i="1"/>
  <c r="AN358" i="1"/>
  <c r="AN354" i="1"/>
  <c r="AN350" i="1"/>
  <c r="AN344" i="1"/>
  <c r="AL337" i="1"/>
  <c r="AM332" i="1"/>
  <c r="AM328" i="1"/>
  <c r="AL324" i="1"/>
  <c r="AN324" i="1"/>
  <c r="AN317" i="1"/>
  <c r="AM316" i="1"/>
  <c r="AM314" i="1"/>
  <c r="AM19" i="1"/>
  <c r="AM23" i="1"/>
  <c r="AM103" i="1"/>
  <c r="AM107" i="1"/>
  <c r="AM131" i="1"/>
  <c r="AN341" i="1"/>
  <c r="AN448" i="1"/>
  <c r="AN452" i="1"/>
  <c r="AN495" i="1"/>
  <c r="AN519" i="1"/>
  <c r="AN535" i="1"/>
  <c r="AN555" i="1"/>
  <c r="AN571" i="1"/>
  <c r="AM638" i="1"/>
  <c r="AM662" i="1"/>
  <c r="AN702" i="1"/>
  <c r="AN595" i="1"/>
  <c r="AL326" i="1"/>
  <c r="AM452" i="1"/>
  <c r="AM456" i="1"/>
  <c r="AM543" i="1"/>
  <c r="AL607" i="1"/>
  <c r="AL8" i="1"/>
  <c r="AM8" i="1"/>
  <c r="AM16" i="1"/>
  <c r="AM24" i="1"/>
  <c r="AM48" i="1"/>
  <c r="AM56" i="1"/>
  <c r="AM60" i="1"/>
  <c r="AM64" i="1"/>
  <c r="AM72" i="1"/>
  <c r="AM104" i="1"/>
  <c r="AM124" i="1"/>
  <c r="AM306" i="1"/>
  <c r="AL310" i="1"/>
  <c r="AM322" i="1"/>
  <c r="AN334" i="1"/>
  <c r="AM345" i="1"/>
  <c r="AL373" i="1"/>
  <c r="AN393" i="1"/>
  <c r="AN401" i="1"/>
  <c r="AN409" i="1"/>
  <c r="AN413" i="1"/>
  <c r="AN417" i="1"/>
  <c r="AN429" i="1"/>
  <c r="AN457" i="1"/>
  <c r="AN461" i="1"/>
  <c r="AN465" i="1"/>
  <c r="AN520" i="1"/>
  <c r="AM679" i="1"/>
  <c r="AM683" i="1"/>
  <c r="AM687" i="1"/>
  <c r="AM691" i="1"/>
  <c r="AM703" i="1"/>
  <c r="AM707" i="1"/>
  <c r="AM719" i="1"/>
  <c r="AM723" i="1"/>
  <c r="AM727" i="1"/>
  <c r="AM731" i="1"/>
  <c r="AN735" i="1"/>
  <c r="AN743" i="1"/>
  <c r="AM334" i="1"/>
  <c r="AM393" i="1"/>
  <c r="AM401" i="1"/>
  <c r="AM441" i="1"/>
  <c r="AM13" i="1"/>
  <c r="AM21" i="1"/>
  <c r="AN339" i="1"/>
  <c r="AN343" i="1"/>
  <c r="AN386" i="1"/>
  <c r="AN394" i="1"/>
  <c r="AN406" i="1"/>
  <c r="AN410" i="1"/>
  <c r="AN497" i="1"/>
  <c r="AN501" i="1"/>
  <c r="AN509" i="1"/>
  <c r="AN517" i="1"/>
  <c r="AN525" i="1"/>
  <c r="AN529" i="1"/>
  <c r="AN533" i="1"/>
  <c r="AM644" i="1"/>
  <c r="AM656" i="1"/>
  <c r="AM664" i="1"/>
  <c r="AM676" i="1"/>
  <c r="AM680" i="1"/>
  <c r="AN740" i="1"/>
  <c r="AN748" i="1"/>
  <c r="AN752" i="1"/>
  <c r="AM339" i="1"/>
  <c r="AM406" i="1"/>
  <c r="AL470" i="1"/>
  <c r="AM489" i="1"/>
  <c r="AM497" i="1"/>
  <c r="AM517" i="1"/>
  <c r="AL593" i="1"/>
  <c r="AM66" i="1"/>
  <c r="AM78" i="1"/>
  <c r="AM94" i="1"/>
  <c r="AM122" i="1"/>
  <c r="AM308" i="1"/>
  <c r="AN332" i="1"/>
  <c r="AN336" i="1"/>
  <c r="AN387" i="1"/>
  <c r="AN403" i="1"/>
  <c r="AN411" i="1"/>
  <c r="AN451" i="1"/>
  <c r="AN506" i="1"/>
  <c r="AN510" i="1"/>
  <c r="AN522" i="1"/>
  <c r="AN526" i="1"/>
  <c r="AN542" i="1"/>
  <c r="AM609" i="1"/>
  <c r="AM673" i="1"/>
  <c r="AM685" i="1"/>
  <c r="AM689" i="1"/>
  <c r="AM542" i="1"/>
  <c r="AN11" i="1"/>
  <c r="AN15" i="1"/>
  <c r="AN23" i="1"/>
  <c r="AM74" i="1"/>
  <c r="AM312" i="1"/>
  <c r="AN347" i="1"/>
  <c r="AN351" i="1"/>
  <c r="AM362" i="1"/>
  <c r="AM370" i="1"/>
  <c r="AM397" i="1"/>
  <c r="AM413" i="1"/>
  <c r="AM417" i="1"/>
  <c r="AM436" i="1"/>
  <c r="AL440" i="1"/>
  <c r="AN444" i="1"/>
  <c r="AN459" i="1"/>
  <c r="AM524" i="1"/>
  <c r="AM528" i="1"/>
  <c r="AN532" i="1"/>
  <c r="AN556" i="1"/>
  <c r="AN560" i="1"/>
  <c r="AN568" i="1"/>
  <c r="AN623" i="1"/>
  <c r="AM682" i="1"/>
  <c r="AN139" i="1"/>
  <c r="AM351" i="1"/>
  <c r="AN24" i="1"/>
  <c r="AN313" i="1"/>
  <c r="AN340" i="1"/>
  <c r="AN356" i="1"/>
  <c r="AM363" i="1"/>
  <c r="AM367" i="1"/>
  <c r="AM374" i="1"/>
  <c r="AM378" i="1"/>
  <c r="AN402" i="1"/>
  <c r="AN418" i="1"/>
  <c r="AN460" i="1"/>
  <c r="AM521" i="1"/>
  <c r="AM525" i="1"/>
  <c r="AN549" i="1"/>
  <c r="AN565" i="1"/>
  <c r="AN569" i="1"/>
  <c r="AN573" i="1"/>
  <c r="AN747" i="1"/>
  <c r="AN48" i="1"/>
  <c r="AN104" i="1"/>
  <c r="AN310" i="1"/>
  <c r="AN329" i="1"/>
  <c r="AN337" i="1"/>
  <c r="AM348" i="1"/>
  <c r="AL356" i="1"/>
  <c r="AN364" i="1"/>
  <c r="AL506" i="1"/>
  <c r="AN518" i="1"/>
  <c r="AM565" i="1"/>
  <c r="AN644" i="1"/>
  <c r="AN664" i="1"/>
  <c r="AL487" i="1"/>
  <c r="AN507" i="1"/>
  <c r="AM668" i="1"/>
  <c r="AN676" i="1"/>
  <c r="AN692" i="1"/>
  <c r="AN17" i="1"/>
  <c r="AM337" i="1"/>
  <c r="AN453" i="1"/>
  <c r="AM476" i="1"/>
  <c r="AM310" i="1"/>
  <c r="AM341" i="1"/>
  <c r="AN349" i="1"/>
  <c r="AN361" i="1"/>
  <c r="AN372" i="1"/>
  <c r="AN376" i="1"/>
  <c r="AN380" i="1"/>
  <c r="AL395" i="1"/>
  <c r="AM403" i="1"/>
  <c r="AM411" i="1"/>
  <c r="AN423" i="1"/>
  <c r="AN427" i="1"/>
  <c r="AM461" i="1"/>
  <c r="AN477" i="1"/>
  <c r="AL488" i="1"/>
  <c r="AN492" i="1"/>
  <c r="AM538" i="1"/>
  <c r="AN645" i="1"/>
  <c r="AN669" i="1"/>
  <c r="AM61" i="1"/>
  <c r="AM85" i="1"/>
  <c r="AM125" i="1"/>
  <c r="AM129" i="1"/>
  <c r="AN315" i="1"/>
  <c r="AM330" i="1"/>
  <c r="AM338" i="1"/>
  <c r="AL361" i="1"/>
  <c r="AM376" i="1"/>
  <c r="AM380" i="1"/>
  <c r="AN388" i="1"/>
  <c r="AN392" i="1"/>
  <c r="AN412" i="1"/>
  <c r="AM427" i="1"/>
  <c r="AN439" i="1"/>
  <c r="AL446" i="1"/>
  <c r="AN454" i="1"/>
  <c r="AN458" i="1"/>
  <c r="AN496" i="1"/>
  <c r="AN508" i="1"/>
  <c r="AN531" i="1"/>
  <c r="AN597" i="1"/>
  <c r="AN733" i="1"/>
  <c r="AN10" i="1"/>
  <c r="AM10" i="1"/>
  <c r="AL14" i="1"/>
  <c r="AN50" i="1"/>
  <c r="AN54" i="1"/>
  <c r="AN66" i="1"/>
  <c r="AN78" i="1"/>
  <c r="AM315" i="1"/>
  <c r="AN335" i="1"/>
  <c r="AN338" i="1"/>
  <c r="AM346" i="1"/>
  <c r="AM354" i="1"/>
  <c r="AM358" i="1"/>
  <c r="AN362" i="1"/>
  <c r="AN373" i="1"/>
  <c r="AL439" i="1"/>
  <c r="AN447" i="1"/>
  <c r="AN478" i="1"/>
  <c r="AN482" i="1"/>
  <c r="AM485" i="1"/>
  <c r="AN547" i="1"/>
  <c r="AM110" i="1"/>
  <c r="AM646" i="1"/>
  <c r="AM658" i="1"/>
  <c r="AN710" i="1"/>
  <c r="AN714" i="1"/>
  <c r="AN726" i="1"/>
  <c r="AN312" i="1"/>
  <c r="AN327" i="1"/>
  <c r="AL334" i="1"/>
  <c r="AL341" i="1"/>
  <c r="AN352" i="1"/>
  <c r="AM369" i="1"/>
  <c r="AN449" i="1"/>
  <c r="AL474" i="1"/>
  <c r="AM499" i="1"/>
  <c r="AL518" i="1"/>
  <c r="AN606" i="1"/>
  <c r="AM33" i="1"/>
  <c r="AN331" i="1"/>
  <c r="AL366" i="1"/>
  <c r="AN384" i="1"/>
  <c r="AM387" i="1"/>
  <c r="AN391" i="1"/>
  <c r="AM394" i="1"/>
  <c r="AN424" i="1"/>
  <c r="AM442" i="1"/>
  <c r="AM449" i="1"/>
  <c r="AN470" i="1"/>
  <c r="AN489" i="1"/>
  <c r="AM496" i="1"/>
  <c r="AN504" i="1"/>
  <c r="AN537" i="1"/>
  <c r="AM80" i="1"/>
  <c r="AM320" i="1"/>
  <c r="AM324" i="1"/>
  <c r="AM352" i="1"/>
  <c r="AN360" i="1"/>
  <c r="AL526" i="1"/>
  <c r="AM533" i="1"/>
  <c r="AN564" i="1"/>
  <c r="AN622" i="1"/>
  <c r="AL22" i="1"/>
  <c r="AN42" i="1"/>
  <c r="AM73" i="1"/>
  <c r="AM77" i="1"/>
  <c r="AN101" i="1"/>
  <c r="AM120" i="1"/>
  <c r="AM139" i="1"/>
  <c r="AL328" i="1"/>
  <c r="AM331" i="1"/>
  <c r="AM342" i="1"/>
  <c r="AM356" i="1"/>
  <c r="AL370" i="1"/>
  <c r="AM395" i="1"/>
  <c r="AN399" i="1"/>
  <c r="AM402" i="1"/>
  <c r="AM410" i="1"/>
  <c r="AM432" i="1"/>
  <c r="AN436" i="1"/>
  <c r="AM439" i="1"/>
  <c r="AN443" i="1"/>
  <c r="AL453" i="1"/>
  <c r="AL464" i="1"/>
  <c r="AN468" i="1"/>
  <c r="AN486" i="1"/>
  <c r="AN516" i="1"/>
  <c r="AN538" i="1"/>
  <c r="AM626" i="1"/>
  <c r="AN634" i="1"/>
  <c r="AN650" i="1"/>
  <c r="AN654" i="1"/>
  <c r="AN712" i="1"/>
  <c r="AN716" i="1"/>
  <c r="AN728" i="1"/>
  <c r="AM763" i="1"/>
  <c r="AM767" i="1"/>
  <c r="AM771" i="1"/>
  <c r="AM775" i="1"/>
  <c r="AM779" i="1"/>
  <c r="AM783" i="1"/>
  <c r="AM787" i="1"/>
  <c r="AM791" i="1"/>
  <c r="AM101" i="1"/>
  <c r="AN325" i="1"/>
  <c r="AM350" i="1"/>
  <c r="AN371" i="1"/>
  <c r="AL374" i="1"/>
  <c r="AN385" i="1"/>
  <c r="AM399" i="1"/>
  <c r="AN433" i="1"/>
  <c r="AN505" i="1"/>
  <c r="AL561" i="1"/>
  <c r="AM603" i="1"/>
  <c r="AN670" i="1"/>
  <c r="AM677" i="1"/>
  <c r="AN736" i="1"/>
  <c r="AN760" i="1"/>
  <c r="AM54" i="1"/>
  <c r="AL332" i="1"/>
  <c r="AM336" i="1"/>
  <c r="AN346" i="1"/>
  <c r="AL350" i="1"/>
  <c r="AL378" i="1"/>
  <c r="AM407" i="1"/>
  <c r="AL422" i="1"/>
  <c r="AN472" i="1"/>
  <c r="AN527" i="1"/>
  <c r="AN557" i="1"/>
  <c r="AL569" i="1"/>
  <c r="AN658" i="1"/>
  <c r="AN16" i="1"/>
  <c r="AM137" i="1"/>
  <c r="AN307" i="1"/>
  <c r="AM325" i="1"/>
  <c r="AM371" i="1"/>
  <c r="AN382" i="1"/>
  <c r="AN389" i="1"/>
  <c r="AL426" i="1"/>
  <c r="AL494" i="1"/>
  <c r="AN502" i="1"/>
  <c r="AN539" i="1"/>
  <c r="AN543" i="1"/>
  <c r="AN558" i="1"/>
  <c r="AN562" i="1"/>
  <c r="AL577" i="1"/>
  <c r="AM581" i="1"/>
  <c r="AN589" i="1"/>
  <c r="AN612" i="1"/>
  <c r="AN616" i="1"/>
  <c r="AM674" i="1"/>
  <c r="AN682" i="1"/>
  <c r="AM705" i="1"/>
  <c r="AM709" i="1"/>
  <c r="AM717" i="1"/>
  <c r="AM721" i="1"/>
  <c r="AM725" i="1"/>
  <c r="AM729" i="1"/>
  <c r="AM733" i="1"/>
  <c r="AN741" i="1"/>
  <c r="AN745" i="1"/>
  <c r="AN333" i="1"/>
  <c r="AL336" i="1"/>
  <c r="AL365" i="1"/>
  <c r="AN375" i="1"/>
  <c r="AM386" i="1"/>
  <c r="AM389" i="1"/>
  <c r="AN397" i="1"/>
  <c r="AN404" i="1"/>
  <c r="AN430" i="1"/>
  <c r="AN434" i="1"/>
  <c r="AM437" i="1"/>
  <c r="AN441" i="1"/>
  <c r="AN455" i="1"/>
  <c r="AN462" i="1"/>
  <c r="AM480" i="1"/>
  <c r="AN484" i="1"/>
  <c r="AM487" i="1"/>
  <c r="AN491" i="1"/>
  <c r="AM502" i="1"/>
  <c r="AM506" i="1"/>
  <c r="AN566" i="1"/>
  <c r="AN570" i="1"/>
  <c r="AL585" i="1"/>
  <c r="AN628" i="1"/>
  <c r="AM12" i="1"/>
  <c r="AM307" i="1"/>
  <c r="AM318" i="1"/>
  <c r="AL330" i="1"/>
  <c r="AM344" i="1"/>
  <c r="AM347" i="1"/>
  <c r="AN640" i="1"/>
  <c r="AN652" i="1"/>
  <c r="AN656" i="1"/>
  <c r="AN675" i="1"/>
  <c r="AN690" i="1"/>
  <c r="AM773" i="1"/>
  <c r="AM9" i="1"/>
  <c r="AL40" i="1"/>
  <c r="AN64" i="1"/>
  <c r="AN308" i="1"/>
  <c r="AN319" i="1"/>
  <c r="AN323" i="1"/>
  <c r="AM333" i="1"/>
  <c r="AN348" i="1"/>
  <c r="AL362" i="1"/>
  <c r="AN366" i="1"/>
  <c r="AN369" i="1"/>
  <c r="AM375" i="1"/>
  <c r="AM412" i="1"/>
  <c r="AN438" i="1"/>
  <c r="AM466" i="1"/>
  <c r="AM473" i="1"/>
  <c r="AM477" i="1"/>
  <c r="AN481" i="1"/>
  <c r="AN499" i="1"/>
  <c r="AM532" i="1"/>
  <c r="AN540" i="1"/>
  <c r="AN544" i="1"/>
  <c r="AN563" i="1"/>
  <c r="AN582" i="1"/>
  <c r="AN625" i="1"/>
  <c r="AM628" i="1"/>
  <c r="AM671" i="1"/>
  <c r="AM675" i="1"/>
  <c r="AN750" i="1"/>
  <c r="AN8" i="1"/>
  <c r="AL12" i="1"/>
  <c r="AN19" i="1"/>
  <c r="AM22" i="1"/>
  <c r="AM26" i="1"/>
  <c r="AN34" i="1"/>
  <c r="AM53" i="1"/>
  <c r="AN72" i="1"/>
  <c r="AM79" i="1"/>
  <c r="AL98" i="1"/>
  <c r="AM117" i="1"/>
  <c r="AN128" i="1"/>
  <c r="AN132" i="1"/>
  <c r="AL139" i="1"/>
  <c r="AN321" i="1"/>
  <c r="AN328" i="1"/>
  <c r="AL340" i="1"/>
  <c r="AL352" i="1"/>
  <c r="AN355" i="1"/>
  <c r="AL360" i="1"/>
  <c r="AN365" i="1"/>
  <c r="AL372" i="1"/>
  <c r="AN377" i="1"/>
  <c r="AL382" i="1"/>
  <c r="AN390" i="1"/>
  <c r="AL399" i="1"/>
  <c r="AN421" i="1"/>
  <c r="AM426" i="1"/>
  <c r="AL441" i="1"/>
  <c r="AN450" i="1"/>
  <c r="AL456" i="1"/>
  <c r="AM464" i="1"/>
  <c r="AM470" i="1"/>
  <c r="AN479" i="1"/>
  <c r="AN485" i="1"/>
  <c r="AN488" i="1"/>
  <c r="AM518" i="1"/>
  <c r="AN528" i="1"/>
  <c r="AN574" i="1"/>
  <c r="AN578" i="1"/>
  <c r="AN591" i="1"/>
  <c r="AL619" i="1"/>
  <c r="AN630" i="1"/>
  <c r="AN666" i="1"/>
  <c r="AN673" i="1"/>
  <c r="AN680" i="1"/>
  <c r="AN683" i="1"/>
  <c r="AN687" i="1"/>
  <c r="AN717" i="1"/>
  <c r="AN721" i="1"/>
  <c r="AN725" i="1"/>
  <c r="AM38" i="1"/>
  <c r="AM106" i="1"/>
  <c r="AM132" i="1"/>
  <c r="AM313" i="1"/>
  <c r="AL316" i="1"/>
  <c r="AM321" i="1"/>
  <c r="AN326" i="1"/>
  <c r="AM355" i="1"/>
  <c r="AM365" i="1"/>
  <c r="AM377" i="1"/>
  <c r="AM385" i="1"/>
  <c r="AM453" i="1"/>
  <c r="AL468" i="1"/>
  <c r="AL538" i="1"/>
  <c r="AM619" i="1"/>
  <c r="AL670" i="1"/>
  <c r="AL16" i="1"/>
  <c r="AN13" i="1"/>
  <c r="AM42" i="1"/>
  <c r="AM50" i="1"/>
  <c r="AM118" i="1"/>
  <c r="AN311" i="1"/>
  <c r="AL313" i="1"/>
  <c r="AN322" i="1"/>
  <c r="AM329" i="1"/>
  <c r="AM335" i="1"/>
  <c r="AL338" i="1"/>
  <c r="AM340" i="1"/>
  <c r="AM343" i="1"/>
  <c r="AL348" i="1"/>
  <c r="AN353" i="1"/>
  <c r="AL358" i="1"/>
  <c r="AL380" i="1"/>
  <c r="AN383" i="1"/>
  <c r="AL385" i="1"/>
  <c r="AL397" i="1"/>
  <c r="AN400" i="1"/>
  <c r="AL409" i="1"/>
  <c r="AN415" i="1"/>
  <c r="AM424" i="1"/>
  <c r="AL427" i="1"/>
  <c r="AN442" i="1"/>
  <c r="AN445" i="1"/>
  <c r="AM450" i="1"/>
  <c r="AN456" i="1"/>
  <c r="AL462" i="1"/>
  <c r="AL465" i="1"/>
  <c r="AN474" i="1"/>
  <c r="AN480" i="1"/>
  <c r="AM488" i="1"/>
  <c r="AM494" i="1"/>
  <c r="AM516" i="1"/>
  <c r="AL519" i="1"/>
  <c r="AN545" i="1"/>
  <c r="AM561" i="1"/>
  <c r="AM585" i="1"/>
  <c r="AN620" i="1"/>
  <c r="AM634" i="1"/>
  <c r="AM652" i="1"/>
  <c r="AN674" i="1"/>
  <c r="AN677" i="1"/>
  <c r="AN684" i="1"/>
  <c r="AN688" i="1"/>
  <c r="AM695" i="1"/>
  <c r="AM699" i="1"/>
  <c r="AN703" i="1"/>
  <c r="AN707" i="1"/>
  <c r="AN722" i="1"/>
  <c r="AN737" i="1"/>
  <c r="AM759" i="1"/>
  <c r="AL308" i="1"/>
  <c r="AN494" i="1"/>
  <c r="AN585" i="1"/>
  <c r="AL10" i="1"/>
  <c r="AM311" i="1"/>
  <c r="AL314" i="1"/>
  <c r="AM319" i="1"/>
  <c r="AM327" i="1"/>
  <c r="AL346" i="1"/>
  <c r="AM353" i="1"/>
  <c r="AM361" i="1"/>
  <c r="AL368" i="1"/>
  <c r="AM373" i="1"/>
  <c r="AM383" i="1"/>
  <c r="AN395" i="1"/>
  <c r="AN407" i="1"/>
  <c r="AL415" i="1"/>
  <c r="AN425" i="1"/>
  <c r="AN428" i="1"/>
  <c r="AL434" i="1"/>
  <c r="AM462" i="1"/>
  <c r="AL477" i="1"/>
  <c r="AL486" i="1"/>
  <c r="AN498" i="1"/>
  <c r="AM519" i="1"/>
  <c r="AN523" i="1"/>
  <c r="AN536" i="1"/>
  <c r="AM545" i="1"/>
  <c r="AN583" i="1"/>
  <c r="AN586" i="1"/>
  <c r="AN599" i="1"/>
  <c r="AL613" i="1"/>
  <c r="AN657" i="1"/>
  <c r="AM681" i="1"/>
  <c r="AN700" i="1"/>
  <c r="AM711" i="1"/>
  <c r="AN715" i="1"/>
  <c r="AM741" i="1"/>
  <c r="AM745" i="1"/>
  <c r="AN749" i="1"/>
  <c r="AN14" i="1"/>
  <c r="AM17" i="1"/>
  <c r="AN21" i="1"/>
  <c r="AL32" i="1"/>
  <c r="AM51" i="1"/>
  <c r="AN59" i="1"/>
  <c r="AN70" i="1"/>
  <c r="AN85" i="1"/>
  <c r="AN89" i="1"/>
  <c r="AN126" i="1"/>
  <c r="AN130" i="1"/>
  <c r="AL138" i="1"/>
  <c r="AL306" i="1"/>
  <c r="AN316" i="1"/>
  <c r="AN359" i="1"/>
  <c r="AN381" i="1"/>
  <c r="AN419" i="1"/>
  <c r="AM422" i="1"/>
  <c r="AN431" i="1"/>
  <c r="AN437" i="1"/>
  <c r="AN440" i="1"/>
  <c r="AL451" i="1"/>
  <c r="AN463" i="1"/>
  <c r="AN466" i="1"/>
  <c r="AN469" i="1"/>
  <c r="AM474" i="1"/>
  <c r="AL489" i="1"/>
  <c r="AM510" i="1"/>
  <c r="AM526" i="1"/>
  <c r="AL536" i="1"/>
  <c r="AN546" i="1"/>
  <c r="AN632" i="1"/>
  <c r="AN668" i="1"/>
  <c r="AN671" i="1"/>
  <c r="AN678" i="1"/>
  <c r="AN685" i="1"/>
  <c r="AN689" i="1"/>
  <c r="AN704" i="1"/>
  <c r="AM715" i="1"/>
  <c r="AN719" i="1"/>
  <c r="AN723" i="1"/>
  <c r="AM749" i="1"/>
  <c r="AN29" i="1"/>
  <c r="AM32" i="1"/>
  <c r="AM36" i="1"/>
  <c r="AM97" i="1"/>
  <c r="AM130" i="1"/>
  <c r="AM138" i="1"/>
  <c r="AL325" i="1"/>
  <c r="AL344" i="1"/>
  <c r="AM349" i="1"/>
  <c r="AM359" i="1"/>
  <c r="AM381" i="1"/>
  <c r="AL386" i="1"/>
  <c r="AL458" i="1"/>
  <c r="AL463" i="1"/>
  <c r="AN487" i="1"/>
  <c r="AL510" i="1"/>
  <c r="AM514" i="1"/>
  <c r="AM536" i="1"/>
  <c r="AM632" i="1"/>
  <c r="AM650" i="1"/>
  <c r="AL682" i="1"/>
  <c r="AM11" i="1"/>
  <c r="AM14" i="1"/>
  <c r="AL18" i="1"/>
  <c r="AN22" i="1"/>
  <c r="AM25" i="1"/>
  <c r="AM40" i="1"/>
  <c r="AN67" i="1"/>
  <c r="AN71" i="1"/>
  <c r="AL78" i="1"/>
  <c r="AN94" i="1"/>
  <c r="AN105" i="1"/>
  <c r="AN131" i="1"/>
  <c r="AM309" i="1"/>
  <c r="AL312" i="1"/>
  <c r="AN314" i="1"/>
  <c r="AM317" i="1"/>
  <c r="AM323" i="1"/>
  <c r="AN342" i="1"/>
  <c r="AL349" i="1"/>
  <c r="AL354" i="1"/>
  <c r="AN357" i="1"/>
  <c r="AL364" i="1"/>
  <c r="AL376" i="1"/>
  <c r="AN379" i="1"/>
  <c r="AL384" i="1"/>
  <c r="AL401" i="1"/>
  <c r="AN420" i="1"/>
  <c r="AN426" i="1"/>
  <c r="AN432" i="1"/>
  <c r="AM440" i="1"/>
  <c r="AM446" i="1"/>
  <c r="AN464" i="1"/>
  <c r="AM472" i="1"/>
  <c r="AL475" i="1"/>
  <c r="AN490" i="1"/>
  <c r="AN493" i="1"/>
  <c r="AM505" i="1"/>
  <c r="AN550" i="1"/>
  <c r="AM553" i="1"/>
  <c r="AN590" i="1"/>
  <c r="AM593" i="1"/>
  <c r="AM607" i="1"/>
  <c r="AN611" i="1"/>
  <c r="AN633" i="1"/>
  <c r="AN679" i="1"/>
  <c r="AN686" i="1"/>
  <c r="AM693" i="1"/>
  <c r="AM697" i="1"/>
  <c r="AM701" i="1"/>
  <c r="AN705" i="1"/>
  <c r="AN709" i="1"/>
  <c r="AN720" i="1"/>
  <c r="AN724" i="1"/>
  <c r="AM735" i="1"/>
  <c r="AN739" i="1"/>
  <c r="AN793" i="1"/>
  <c r="AL317" i="1"/>
  <c r="AL320" i="1"/>
  <c r="AN446" i="1"/>
  <c r="AL502" i="1"/>
  <c r="AN553" i="1"/>
  <c r="AN593" i="1"/>
  <c r="AN12" i="1"/>
  <c r="AM15" i="1"/>
  <c r="AM18" i="1"/>
  <c r="AN30" i="1"/>
  <c r="AM45" i="1"/>
  <c r="AL64" i="1"/>
  <c r="AN79" i="1"/>
  <c r="AL94" i="1"/>
  <c r="AM98" i="1"/>
  <c r="AN117" i="1"/>
  <c r="AN318" i="1"/>
  <c r="AN345" i="1"/>
  <c r="AM357" i="1"/>
  <c r="AM379" i="1"/>
  <c r="AN405" i="1"/>
  <c r="AM408" i="1"/>
  <c r="AL417" i="1"/>
  <c r="AL429" i="1"/>
  <c r="AL438" i="1"/>
  <c r="AN473" i="1"/>
  <c r="AN476" i="1"/>
  <c r="AL482" i="1"/>
  <c r="AN521" i="1"/>
  <c r="AM537" i="1"/>
  <c r="AN554" i="1"/>
  <c r="AN567" i="1"/>
  <c r="AN594" i="1"/>
  <c r="AN605" i="1"/>
  <c r="AL615" i="1"/>
  <c r="AM640" i="1"/>
  <c r="AM669" i="1"/>
  <c r="AL676" i="1"/>
  <c r="AM713" i="1"/>
  <c r="AM743" i="1"/>
  <c r="AM747" i="1"/>
  <c r="AN138" i="1"/>
  <c r="AL137" i="1"/>
  <c r="AN137" i="1"/>
  <c r="AN136" i="1"/>
  <c r="AM136" i="1"/>
  <c r="AL136" i="1"/>
  <c r="AM135" i="1"/>
  <c r="AN135" i="1"/>
  <c r="AL135" i="1"/>
  <c r="AN134" i="1"/>
  <c r="AM134" i="1"/>
  <c r="AM133" i="1"/>
  <c r="AL133" i="1"/>
  <c r="AL131" i="1"/>
  <c r="AN129" i="1"/>
  <c r="AM128" i="1"/>
  <c r="AL128" i="1"/>
  <c r="AM127" i="1"/>
  <c r="AN127" i="1"/>
  <c r="AM126" i="1"/>
  <c r="AL126" i="1"/>
  <c r="AN125" i="1"/>
  <c r="AN124" i="1"/>
  <c r="AL124" i="1"/>
  <c r="AM123" i="1"/>
  <c r="AN123" i="1"/>
  <c r="AN122" i="1"/>
  <c r="AL122" i="1"/>
  <c r="AM121" i="1"/>
  <c r="AN121" i="1"/>
  <c r="AL120" i="1"/>
  <c r="AM119" i="1"/>
  <c r="AN119" i="1"/>
  <c r="AL118" i="1"/>
  <c r="AM116" i="1"/>
  <c r="AN116" i="1"/>
  <c r="AL116" i="1"/>
  <c r="AM115" i="1"/>
  <c r="AM114" i="1"/>
  <c r="AN114" i="1"/>
  <c r="AL114" i="1"/>
  <c r="AN113" i="1"/>
  <c r="AM112" i="1"/>
  <c r="AN112" i="1"/>
  <c r="AL112" i="1"/>
  <c r="AM111" i="1"/>
  <c r="AN111" i="1"/>
  <c r="AN110" i="1"/>
  <c r="AL110" i="1"/>
  <c r="AM109" i="1"/>
  <c r="AN109" i="1"/>
  <c r="AM108" i="1"/>
  <c r="AN108" i="1"/>
  <c r="AL108" i="1"/>
  <c r="AN107" i="1"/>
  <c r="AN106" i="1"/>
  <c r="AL106" i="1"/>
  <c r="AM105" i="1"/>
  <c r="AL104" i="1"/>
  <c r="AM102" i="1"/>
  <c r="AN102" i="1"/>
  <c r="AL102" i="1"/>
  <c r="AM100" i="1"/>
  <c r="AN100" i="1"/>
  <c r="AL100" i="1"/>
  <c r="AM99" i="1"/>
  <c r="AN98" i="1"/>
  <c r="AN97" i="1"/>
  <c r="AM96" i="1"/>
  <c r="AN96" i="1"/>
  <c r="AL96" i="1"/>
  <c r="AM95" i="1"/>
  <c r="AN95" i="1"/>
  <c r="AM93" i="1"/>
  <c r="AN93" i="1"/>
  <c r="AM92" i="1"/>
  <c r="AN92" i="1"/>
  <c r="AL92" i="1"/>
  <c r="AM91" i="1"/>
  <c r="AN91" i="1"/>
  <c r="AM90" i="1"/>
  <c r="AN90" i="1"/>
  <c r="AL90" i="1"/>
  <c r="AM89" i="1"/>
  <c r="AM88" i="1"/>
  <c r="AL88" i="1"/>
  <c r="AN88" i="1"/>
  <c r="AM87" i="1"/>
  <c r="AN87" i="1"/>
  <c r="AM86" i="1"/>
  <c r="AL86" i="1"/>
  <c r="AN86" i="1"/>
  <c r="AM84" i="1"/>
  <c r="AN84" i="1"/>
  <c r="AL84" i="1"/>
  <c r="AM83" i="1"/>
  <c r="AN83" i="1"/>
  <c r="AM82" i="1"/>
  <c r="AN82" i="1"/>
  <c r="AL82" i="1"/>
  <c r="AM81" i="1"/>
  <c r="AN81" i="1"/>
  <c r="AL80" i="1"/>
  <c r="AM76" i="1"/>
  <c r="AN76" i="1"/>
  <c r="AL76" i="1"/>
  <c r="AM75" i="1"/>
  <c r="AN75" i="1"/>
  <c r="AL74" i="1"/>
  <c r="AN74" i="1"/>
  <c r="AL72" i="1"/>
  <c r="AM71" i="1"/>
  <c r="AM70" i="1"/>
  <c r="AL70" i="1"/>
  <c r="AM69" i="1"/>
  <c r="AN69" i="1"/>
  <c r="AM68" i="1"/>
  <c r="AN68" i="1"/>
  <c r="AL68" i="1"/>
  <c r="AM67" i="1"/>
  <c r="AL66" i="1"/>
  <c r="AM65" i="1"/>
  <c r="AN65" i="1"/>
  <c r="AM63" i="1"/>
  <c r="AN63" i="1"/>
  <c r="AL62" i="1"/>
  <c r="AN62" i="1"/>
  <c r="AM62" i="1"/>
  <c r="AN61" i="1"/>
  <c r="AN60" i="1"/>
  <c r="AL60" i="1"/>
  <c r="AM59" i="1"/>
  <c r="AM58" i="1"/>
  <c r="AN58" i="1"/>
  <c r="AL58" i="1"/>
  <c r="AM57" i="1"/>
  <c r="AN57" i="1"/>
  <c r="AN56" i="1"/>
  <c r="AL56" i="1"/>
  <c r="AM55" i="1"/>
  <c r="AN55" i="1"/>
  <c r="AL54" i="1"/>
  <c r="AN53" i="1"/>
  <c r="AM52" i="1"/>
  <c r="AN52" i="1"/>
  <c r="AL52" i="1"/>
  <c r="AN51" i="1"/>
  <c r="AL50" i="1"/>
  <c r="AM49" i="1"/>
  <c r="AN49" i="1"/>
  <c r="AL48" i="1"/>
  <c r="AM47" i="1"/>
  <c r="AM46" i="1"/>
  <c r="AN46" i="1"/>
  <c r="AL46" i="1"/>
  <c r="AL44" i="1"/>
  <c r="AN44" i="1"/>
  <c r="AM44" i="1"/>
  <c r="AM43" i="1"/>
  <c r="AL42" i="1"/>
  <c r="AM41" i="1"/>
  <c r="AN40" i="1"/>
  <c r="AM39" i="1"/>
  <c r="AN39" i="1"/>
  <c r="AN38" i="1"/>
  <c r="AL38" i="1"/>
  <c r="AM37" i="1"/>
  <c r="AN37" i="1"/>
  <c r="AL36" i="1"/>
  <c r="AN36" i="1"/>
  <c r="AM35" i="1"/>
  <c r="AN35" i="1"/>
  <c r="AM34" i="1"/>
  <c r="AL34" i="1"/>
  <c r="AN33" i="1"/>
  <c r="AM31" i="1"/>
  <c r="AN31" i="1"/>
  <c r="AM30" i="1"/>
  <c r="AL30" i="1"/>
  <c r="AM29" i="1"/>
  <c r="AL28" i="1"/>
  <c r="AN28" i="1"/>
  <c r="AM28" i="1"/>
  <c r="AM27" i="1"/>
  <c r="AN27" i="1"/>
  <c r="AN26" i="1"/>
  <c r="AL26" i="1"/>
  <c r="AL24" i="1"/>
  <c r="AL20" i="1"/>
  <c r="AM20" i="1"/>
  <c r="AN20" i="1"/>
  <c r="AL398" i="1"/>
  <c r="AM398" i="1"/>
  <c r="AL445" i="1"/>
  <c r="AM445" i="1"/>
  <c r="AL493" i="1"/>
  <c r="AM493" i="1"/>
  <c r="AL601" i="1"/>
  <c r="AM601" i="1"/>
  <c r="AN306" i="1"/>
  <c r="AL315" i="1"/>
  <c r="AN330" i="1"/>
  <c r="AL339" i="1"/>
  <c r="AL363" i="1"/>
  <c r="AL387" i="1"/>
  <c r="AN396" i="1"/>
  <c r="AL411" i="1"/>
  <c r="AN414" i="1"/>
  <c r="AL420" i="1"/>
  <c r="AM420" i="1"/>
  <c r="AN503" i="1"/>
  <c r="AL551" i="1"/>
  <c r="AM551" i="1"/>
  <c r="AM762" i="1"/>
  <c r="AL762" i="1"/>
  <c r="AN762" i="1"/>
  <c r="AN398" i="1"/>
  <c r="AL414" i="1"/>
  <c r="AM414" i="1"/>
  <c r="AL423" i="1"/>
  <c r="AM423" i="1"/>
  <c r="AL471" i="1"/>
  <c r="AM471" i="1"/>
  <c r="AN500" i="1"/>
  <c r="AL503" i="1"/>
  <c r="AM503" i="1"/>
  <c r="AL514" i="1"/>
  <c r="AM548" i="1"/>
  <c r="AL548" i="1"/>
  <c r="AN548" i="1"/>
  <c r="AL322" i="1"/>
  <c r="AL335" i="1"/>
  <c r="AL359" i="1"/>
  <c r="AL383" i="1"/>
  <c r="AL393" i="1"/>
  <c r="AM409" i="1"/>
  <c r="AL432" i="1"/>
  <c r="AM451" i="1"/>
  <c r="AL457" i="1"/>
  <c r="AM457" i="1"/>
  <c r="AL480" i="1"/>
  <c r="AM500" i="1"/>
  <c r="AL500" i="1"/>
  <c r="AL511" i="1"/>
  <c r="AM511" i="1"/>
  <c r="AN514" i="1"/>
  <c r="AL309" i="1"/>
  <c r="AL357" i="1"/>
  <c r="AL381" i="1"/>
  <c r="AM396" i="1"/>
  <c r="AL404" i="1"/>
  <c r="AM404" i="1"/>
  <c r="AM552" i="1"/>
  <c r="AL552" i="1"/>
  <c r="AN552" i="1"/>
  <c r="AL579" i="1"/>
  <c r="AM579" i="1"/>
  <c r="AN579" i="1"/>
  <c r="AM631" i="1"/>
  <c r="AL631" i="1"/>
  <c r="AM667" i="1"/>
  <c r="AL667" i="1"/>
  <c r="AL9" i="1"/>
  <c r="AL11" i="1"/>
  <c r="AL13" i="1"/>
  <c r="AL15" i="1"/>
  <c r="AL17" i="1"/>
  <c r="AL19" i="1"/>
  <c r="AL21" i="1"/>
  <c r="AL23" i="1"/>
  <c r="AL25" i="1"/>
  <c r="AL27" i="1"/>
  <c r="AL29" i="1"/>
  <c r="AL31" i="1"/>
  <c r="AL33" i="1"/>
  <c r="AL35" i="1"/>
  <c r="AL37" i="1"/>
  <c r="AL39" i="1"/>
  <c r="AL41" i="1"/>
  <c r="AL43" i="1"/>
  <c r="AL45" i="1"/>
  <c r="AL47" i="1"/>
  <c r="AL49" i="1"/>
  <c r="AL51" i="1"/>
  <c r="AL53" i="1"/>
  <c r="AL55" i="1"/>
  <c r="AL57" i="1"/>
  <c r="AL59" i="1"/>
  <c r="AL61" i="1"/>
  <c r="AL63" i="1"/>
  <c r="AL65" i="1"/>
  <c r="AL67" i="1"/>
  <c r="AL69" i="1"/>
  <c r="AL71" i="1"/>
  <c r="AL73" i="1"/>
  <c r="AL75" i="1"/>
  <c r="AL77" i="1"/>
  <c r="AL79" i="1"/>
  <c r="AL81" i="1"/>
  <c r="AL83" i="1"/>
  <c r="AL85" i="1"/>
  <c r="AL87" i="1"/>
  <c r="AL89" i="1"/>
  <c r="AL91" i="1"/>
  <c r="AL93" i="1"/>
  <c r="AL95" i="1"/>
  <c r="AL97" i="1"/>
  <c r="AL99" i="1"/>
  <c r="AL101" i="1"/>
  <c r="AL103" i="1"/>
  <c r="AL105" i="1"/>
  <c r="AL107" i="1"/>
  <c r="AL109" i="1"/>
  <c r="AL111" i="1"/>
  <c r="AL113" i="1"/>
  <c r="AL115" i="1"/>
  <c r="AL117" i="1"/>
  <c r="AL119" i="1"/>
  <c r="AL121" i="1"/>
  <c r="AL123" i="1"/>
  <c r="AL125" i="1"/>
  <c r="AL127" i="1"/>
  <c r="AL129" i="1"/>
  <c r="AN133" i="1"/>
  <c r="AL307" i="1"/>
  <c r="AL318" i="1"/>
  <c r="AL331" i="1"/>
  <c r="AL342" i="1"/>
  <c r="AL355" i="1"/>
  <c r="AL379" i="1"/>
  <c r="AL407" i="1"/>
  <c r="AL435" i="1"/>
  <c r="AM435" i="1"/>
  <c r="AL452" i="1"/>
  <c r="AL483" i="1"/>
  <c r="AM483" i="1"/>
  <c r="AL515" i="1"/>
  <c r="AM515" i="1"/>
  <c r="AL530" i="1"/>
  <c r="AM530" i="1"/>
  <c r="AL624" i="1"/>
  <c r="AM624" i="1"/>
  <c r="AL311" i="1"/>
  <c r="AL333" i="1"/>
  <c r="AL329" i="1"/>
  <c r="AL353" i="1"/>
  <c r="AL377" i="1"/>
  <c r="AL391" i="1"/>
  <c r="AL421" i="1"/>
  <c r="AM421" i="1"/>
  <c r="AL444" i="1"/>
  <c r="AM463" i="1"/>
  <c r="AL469" i="1"/>
  <c r="AM469" i="1"/>
  <c r="AL492" i="1"/>
  <c r="AL501" i="1"/>
  <c r="AM501" i="1"/>
  <c r="AL512" i="1"/>
  <c r="AM512" i="1"/>
  <c r="AL617" i="1"/>
  <c r="AM617" i="1"/>
  <c r="AL327" i="1"/>
  <c r="AL351" i="1"/>
  <c r="AL375" i="1"/>
  <c r="AM391" i="1"/>
  <c r="AL402" i="1"/>
  <c r="AM415" i="1"/>
  <c r="AL504" i="1"/>
  <c r="AM576" i="1"/>
  <c r="AL576" i="1"/>
  <c r="AN576" i="1"/>
  <c r="AN614" i="1"/>
  <c r="AN416" i="1"/>
  <c r="AL447" i="1"/>
  <c r="AM447" i="1"/>
  <c r="AL495" i="1"/>
  <c r="AM495" i="1"/>
  <c r="AM614" i="1"/>
  <c r="AL614" i="1"/>
  <c r="AL323" i="1"/>
  <c r="AL347" i="1"/>
  <c r="AL371" i="1"/>
  <c r="AM405" i="1"/>
  <c r="AL405" i="1"/>
  <c r="AL433" i="1"/>
  <c r="AM433" i="1"/>
  <c r="AL481" i="1"/>
  <c r="AM481" i="1"/>
  <c r="AL534" i="1"/>
  <c r="AM534" i="1"/>
  <c r="AM604" i="1"/>
  <c r="AL604" i="1"/>
  <c r="AN604" i="1"/>
  <c r="AL369" i="1"/>
  <c r="AL516" i="1"/>
  <c r="AL134" i="1"/>
  <c r="AL132" i="1"/>
  <c r="AL321" i="1"/>
  <c r="AL345" i="1"/>
  <c r="AL392" i="1"/>
  <c r="AM392" i="1"/>
  <c r="AL130" i="1"/>
  <c r="AL319" i="1"/>
  <c r="AL343" i="1"/>
  <c r="AL367" i="1"/>
  <c r="AL389" i="1"/>
  <c r="AL406" i="1"/>
  <c r="AM416" i="1"/>
  <c r="AL428" i="1"/>
  <c r="AL459" i="1"/>
  <c r="AM459" i="1"/>
  <c r="AL476" i="1"/>
  <c r="AL522" i="1"/>
  <c r="AM522" i="1"/>
  <c r="AL660" i="1"/>
  <c r="AM660" i="1"/>
  <c r="AM744" i="1"/>
  <c r="AL744" i="1"/>
  <c r="AN744" i="1"/>
  <c r="AL394" i="1"/>
  <c r="AM498" i="1"/>
  <c r="AL498" i="1"/>
  <c r="AN512" i="1"/>
  <c r="AN515" i="1"/>
  <c r="AL528" i="1"/>
  <c r="AN534" i="1"/>
  <c r="AM564" i="1"/>
  <c r="AL564" i="1"/>
  <c r="AL567" i="1"/>
  <c r="AM567" i="1"/>
  <c r="AM592" i="1"/>
  <c r="AL592" i="1"/>
  <c r="AL595" i="1"/>
  <c r="AM595" i="1"/>
  <c r="AN608" i="1"/>
  <c r="AL611" i="1"/>
  <c r="AM611" i="1"/>
  <c r="AL621" i="1"/>
  <c r="AL628" i="1"/>
  <c r="AM653" i="1"/>
  <c r="AL653" i="1"/>
  <c r="AM657" i="1"/>
  <c r="AL657" i="1"/>
  <c r="AN696" i="1"/>
  <c r="AM718" i="1"/>
  <c r="AL718" i="1"/>
  <c r="AN718" i="1"/>
  <c r="AL555" i="1"/>
  <c r="AM555" i="1"/>
  <c r="AM608" i="1"/>
  <c r="AL608" i="1"/>
  <c r="AM618" i="1"/>
  <c r="AL618" i="1"/>
  <c r="AM639" i="1"/>
  <c r="AL639" i="1"/>
  <c r="AM696" i="1"/>
  <c r="AL696" i="1"/>
  <c r="AM730" i="1"/>
  <c r="AL730" i="1"/>
  <c r="AN763" i="1"/>
  <c r="AL763" i="1"/>
  <c r="AN767" i="1"/>
  <c r="AL767" i="1"/>
  <c r="AN771" i="1"/>
  <c r="AL771" i="1"/>
  <c r="AN775" i="1"/>
  <c r="AL775" i="1"/>
  <c r="AN779" i="1"/>
  <c r="AL779" i="1"/>
  <c r="AN783" i="1"/>
  <c r="AL783" i="1"/>
  <c r="AN787" i="1"/>
  <c r="AL787" i="1"/>
  <c r="AL390" i="1"/>
  <c r="AL520" i="1"/>
  <c r="AL523" i="1"/>
  <c r="AM523" i="1"/>
  <c r="AL540" i="1"/>
  <c r="AM580" i="1"/>
  <c r="AL580" i="1"/>
  <c r="AL583" i="1"/>
  <c r="AM583" i="1"/>
  <c r="AN592" i="1"/>
  <c r="AL605" i="1"/>
  <c r="AM605" i="1"/>
  <c r="AM621" i="1"/>
  <c r="AM643" i="1"/>
  <c r="AL643" i="1"/>
  <c r="AL388" i="1"/>
  <c r="AL403" i="1"/>
  <c r="AL412" i="1"/>
  <c r="AL419" i="1"/>
  <c r="AL424" i="1"/>
  <c r="AL431" i="1"/>
  <c r="AL436" i="1"/>
  <c r="AL443" i="1"/>
  <c r="AL448" i="1"/>
  <c r="AL455" i="1"/>
  <c r="AL460" i="1"/>
  <c r="AL467" i="1"/>
  <c r="AL472" i="1"/>
  <c r="AL479" i="1"/>
  <c r="AL484" i="1"/>
  <c r="AL491" i="1"/>
  <c r="AL496" i="1"/>
  <c r="AL546" i="1"/>
  <c r="AM546" i="1"/>
  <c r="AN561" i="1"/>
  <c r="AM568" i="1"/>
  <c r="AL568" i="1"/>
  <c r="AL571" i="1"/>
  <c r="AM571" i="1"/>
  <c r="AM602" i="1"/>
  <c r="AL602" i="1"/>
  <c r="AM612" i="1"/>
  <c r="AL612" i="1"/>
  <c r="AN618" i="1"/>
  <c r="AL636" i="1"/>
  <c r="AM636" i="1"/>
  <c r="AM708" i="1"/>
  <c r="AL708" i="1"/>
  <c r="AN730" i="1"/>
  <c r="AM390" i="1"/>
  <c r="AL410" i="1"/>
  <c r="AM419" i="1"/>
  <c r="AM431" i="1"/>
  <c r="AM443" i="1"/>
  <c r="AM455" i="1"/>
  <c r="AM467" i="1"/>
  <c r="AM479" i="1"/>
  <c r="AM491" i="1"/>
  <c r="AL499" i="1"/>
  <c r="AN513" i="1"/>
  <c r="AL529" i="1"/>
  <c r="AM529" i="1"/>
  <c r="AL535" i="1"/>
  <c r="AM535" i="1"/>
  <c r="AM540" i="1"/>
  <c r="AN559" i="1"/>
  <c r="AM577" i="1"/>
  <c r="AN580" i="1"/>
  <c r="AM596" i="1"/>
  <c r="AL596" i="1"/>
  <c r="AL599" i="1"/>
  <c r="AM599" i="1"/>
  <c r="AL609" i="1"/>
  <c r="AM615" i="1"/>
  <c r="AM622" i="1"/>
  <c r="AL622" i="1"/>
  <c r="AM629" i="1"/>
  <c r="AL629" i="1"/>
  <c r="AM633" i="1"/>
  <c r="AL633" i="1"/>
  <c r="AM665" i="1"/>
  <c r="AL665" i="1"/>
  <c r="AN672" i="1"/>
  <c r="AM738" i="1"/>
  <c r="AL738" i="1"/>
  <c r="AN738" i="1"/>
  <c r="AL408" i="1"/>
  <c r="AL513" i="1"/>
  <c r="AM513" i="1"/>
  <c r="AN524" i="1"/>
  <c r="AN541" i="1"/>
  <c r="AM556" i="1"/>
  <c r="AL556" i="1"/>
  <c r="AL559" i="1"/>
  <c r="AM559" i="1"/>
  <c r="AN577" i="1"/>
  <c r="AM584" i="1"/>
  <c r="AL584" i="1"/>
  <c r="AL587" i="1"/>
  <c r="AM587" i="1"/>
  <c r="AM606" i="1"/>
  <c r="AL606" i="1"/>
  <c r="AL672" i="1"/>
  <c r="AM672" i="1"/>
  <c r="AM690" i="1"/>
  <c r="AL690" i="1"/>
  <c r="AL524" i="1"/>
  <c r="AN530" i="1"/>
  <c r="AL541" i="1"/>
  <c r="AM541" i="1"/>
  <c r="AL547" i="1"/>
  <c r="AM547" i="1"/>
  <c r="AN575" i="1"/>
  <c r="AL603" i="1"/>
  <c r="AM616" i="1"/>
  <c r="AL616" i="1"/>
  <c r="AM655" i="1"/>
  <c r="AL655" i="1"/>
  <c r="AN698" i="1"/>
  <c r="AM572" i="1"/>
  <c r="AL572" i="1"/>
  <c r="AL575" i="1"/>
  <c r="AM575" i="1"/>
  <c r="AM600" i="1"/>
  <c r="AL600" i="1"/>
  <c r="AL648" i="1"/>
  <c r="AM648" i="1"/>
  <c r="AM694" i="1"/>
  <c r="AL694" i="1"/>
  <c r="AN694" i="1"/>
  <c r="AM698" i="1"/>
  <c r="AL698" i="1"/>
  <c r="AN765" i="1"/>
  <c r="AL765" i="1"/>
  <c r="AN769" i="1"/>
  <c r="AL769" i="1"/>
  <c r="AN773" i="1"/>
  <c r="AL773" i="1"/>
  <c r="AN777" i="1"/>
  <c r="AL777" i="1"/>
  <c r="AN781" i="1"/>
  <c r="AL781" i="1"/>
  <c r="AN785" i="1"/>
  <c r="AL785" i="1"/>
  <c r="AN789" i="1"/>
  <c r="AL789" i="1"/>
  <c r="AM560" i="1"/>
  <c r="AL560" i="1"/>
  <c r="AL563" i="1"/>
  <c r="AM563" i="1"/>
  <c r="AM610" i="1"/>
  <c r="AL610" i="1"/>
  <c r="AL623" i="1"/>
  <c r="AM623" i="1"/>
  <c r="AM641" i="1"/>
  <c r="AL641" i="1"/>
  <c r="AM645" i="1"/>
  <c r="AL645" i="1"/>
  <c r="AM754" i="1"/>
  <c r="AL754" i="1"/>
  <c r="AN754" i="1"/>
  <c r="AL400" i="1"/>
  <c r="AL413" i="1"/>
  <c r="AL418" i="1"/>
  <c r="AL425" i="1"/>
  <c r="AL430" i="1"/>
  <c r="AL437" i="1"/>
  <c r="AL442" i="1"/>
  <c r="AL449" i="1"/>
  <c r="AL454" i="1"/>
  <c r="AL461" i="1"/>
  <c r="AL466" i="1"/>
  <c r="AL473" i="1"/>
  <c r="AL478" i="1"/>
  <c r="AL485" i="1"/>
  <c r="AL490" i="1"/>
  <c r="AL508" i="1"/>
  <c r="AN511" i="1"/>
  <c r="AL542" i="1"/>
  <c r="AN551" i="1"/>
  <c r="AM569" i="1"/>
  <c r="AN572" i="1"/>
  <c r="AM588" i="1"/>
  <c r="AL588" i="1"/>
  <c r="AL591" i="1"/>
  <c r="AM591" i="1"/>
  <c r="AN600" i="1"/>
  <c r="AM613" i="1"/>
  <c r="AN617" i="1"/>
  <c r="AM620" i="1"/>
  <c r="AL620" i="1"/>
  <c r="AM663" i="1"/>
  <c r="AL663" i="1"/>
  <c r="AL517" i="1"/>
  <c r="AL531" i="1"/>
  <c r="AL543" i="1"/>
  <c r="AN636" i="1"/>
  <c r="AN660" i="1"/>
  <c r="AM734" i="1"/>
  <c r="AL734" i="1"/>
  <c r="AN791" i="1"/>
  <c r="AL791" i="1"/>
  <c r="AM720" i="1"/>
  <c r="AL720" i="1"/>
  <c r="AM756" i="1"/>
  <c r="AL756" i="1"/>
  <c r="AN756" i="1"/>
  <c r="AL509" i="1"/>
  <c r="AL527" i="1"/>
  <c r="AL539" i="1"/>
  <c r="AM554" i="1"/>
  <c r="AL554" i="1"/>
  <c r="AM562" i="1"/>
  <c r="AL562" i="1"/>
  <c r="AM570" i="1"/>
  <c r="AL570" i="1"/>
  <c r="AM578" i="1"/>
  <c r="AL578" i="1"/>
  <c r="AM586" i="1"/>
  <c r="AL586" i="1"/>
  <c r="AM594" i="1"/>
  <c r="AL594" i="1"/>
  <c r="AL630" i="1"/>
  <c r="AM630" i="1"/>
  <c r="AM637" i="1"/>
  <c r="AL637" i="1"/>
  <c r="AM647" i="1"/>
  <c r="AL647" i="1"/>
  <c r="AL654" i="1"/>
  <c r="AM654" i="1"/>
  <c r="AM661" i="1"/>
  <c r="AL661" i="1"/>
  <c r="AM684" i="1"/>
  <c r="AL684" i="1"/>
  <c r="AM706" i="1"/>
  <c r="AL706" i="1"/>
  <c r="AM742" i="1"/>
  <c r="AL742" i="1"/>
  <c r="AN753" i="1"/>
  <c r="AL753" i="1"/>
  <c r="AL507" i="1"/>
  <c r="AL532" i="1"/>
  <c r="AL544" i="1"/>
  <c r="AL549" i="1"/>
  <c r="AL557" i="1"/>
  <c r="AL565" i="1"/>
  <c r="AL573" i="1"/>
  <c r="AL581" i="1"/>
  <c r="AL589" i="1"/>
  <c r="AL597" i="1"/>
  <c r="AM627" i="1"/>
  <c r="AL627" i="1"/>
  <c r="AM651" i="1"/>
  <c r="AL651" i="1"/>
  <c r="AM710" i="1"/>
  <c r="AL710" i="1"/>
  <c r="AM746" i="1"/>
  <c r="AL746" i="1"/>
  <c r="AN746" i="1"/>
  <c r="AL505" i="1"/>
  <c r="AM509" i="1"/>
  <c r="AL525" i="1"/>
  <c r="AM527" i="1"/>
  <c r="AL537" i="1"/>
  <c r="AM539" i="1"/>
  <c r="AN603" i="1"/>
  <c r="AN609" i="1"/>
  <c r="AN615" i="1"/>
  <c r="AN621" i="1"/>
  <c r="AN624" i="1"/>
  <c r="AN648" i="1"/>
  <c r="AL678" i="1"/>
  <c r="AM678" i="1"/>
  <c r="AN706" i="1"/>
  <c r="AM714" i="1"/>
  <c r="AL714" i="1"/>
  <c r="AM732" i="1"/>
  <c r="AL732" i="1"/>
  <c r="AN732" i="1"/>
  <c r="AN742" i="1"/>
  <c r="AN761" i="1"/>
  <c r="AL761" i="1"/>
  <c r="AM722" i="1"/>
  <c r="AL722" i="1"/>
  <c r="AN751" i="1"/>
  <c r="AL751" i="1"/>
  <c r="AM758" i="1"/>
  <c r="AL758" i="1"/>
  <c r="AL497" i="1"/>
  <c r="AL521" i="1"/>
  <c r="AL533" i="1"/>
  <c r="AL545" i="1"/>
  <c r="AM550" i="1"/>
  <c r="AL550" i="1"/>
  <c r="AM558" i="1"/>
  <c r="AL558" i="1"/>
  <c r="AM566" i="1"/>
  <c r="AL566" i="1"/>
  <c r="AM574" i="1"/>
  <c r="AL574" i="1"/>
  <c r="AM582" i="1"/>
  <c r="AL582" i="1"/>
  <c r="AM590" i="1"/>
  <c r="AL590" i="1"/>
  <c r="AM598" i="1"/>
  <c r="AL598" i="1"/>
  <c r="AN601" i="1"/>
  <c r="AN607" i="1"/>
  <c r="AN613" i="1"/>
  <c r="AN619" i="1"/>
  <c r="AM625" i="1"/>
  <c r="AL625" i="1"/>
  <c r="AM635" i="1"/>
  <c r="AL635" i="1"/>
  <c r="AN639" i="1"/>
  <c r="AL642" i="1"/>
  <c r="AM642" i="1"/>
  <c r="AM649" i="1"/>
  <c r="AL649" i="1"/>
  <c r="AM659" i="1"/>
  <c r="AL659" i="1"/>
  <c r="AN663" i="1"/>
  <c r="AL666" i="1"/>
  <c r="AM666" i="1"/>
  <c r="AM686" i="1"/>
  <c r="AL686" i="1"/>
  <c r="AN708" i="1"/>
  <c r="AM704" i="1"/>
  <c r="AL704" i="1"/>
  <c r="AM728" i="1"/>
  <c r="AL728" i="1"/>
  <c r="AM752" i="1"/>
  <c r="AL752" i="1"/>
  <c r="AN759" i="1"/>
  <c r="AL759" i="1"/>
  <c r="AN766" i="1"/>
  <c r="AM766" i="1"/>
  <c r="AL766" i="1"/>
  <c r="AN770" i="1"/>
  <c r="AM770" i="1"/>
  <c r="AL770" i="1"/>
  <c r="AN774" i="1"/>
  <c r="AM774" i="1"/>
  <c r="AL774" i="1"/>
  <c r="AN778" i="1"/>
  <c r="AM778" i="1"/>
  <c r="AL778" i="1"/>
  <c r="AN782" i="1"/>
  <c r="AM782" i="1"/>
  <c r="AL782" i="1"/>
  <c r="AN786" i="1"/>
  <c r="AM786" i="1"/>
  <c r="AL786" i="1"/>
  <c r="AN790" i="1"/>
  <c r="AM790" i="1"/>
  <c r="AL790" i="1"/>
  <c r="AM688" i="1"/>
  <c r="AL688" i="1"/>
  <c r="AM712" i="1"/>
  <c r="AL712" i="1"/>
  <c r="AM736" i="1"/>
  <c r="AL736" i="1"/>
  <c r="AM760" i="1"/>
  <c r="AL760" i="1"/>
  <c r="AM702" i="1"/>
  <c r="AL702" i="1"/>
  <c r="AM726" i="1"/>
  <c r="AL726" i="1"/>
  <c r="AM750" i="1"/>
  <c r="AL750" i="1"/>
  <c r="AN757" i="1"/>
  <c r="AL757" i="1"/>
  <c r="AN631" i="1"/>
  <c r="AL634" i="1"/>
  <c r="AN637" i="1"/>
  <c r="AL640" i="1"/>
  <c r="AN643" i="1"/>
  <c r="AL646" i="1"/>
  <c r="AN649" i="1"/>
  <c r="AL652" i="1"/>
  <c r="AN655" i="1"/>
  <c r="AL658" i="1"/>
  <c r="AN661" i="1"/>
  <c r="AL664" i="1"/>
  <c r="AN667" i="1"/>
  <c r="AM692" i="1"/>
  <c r="AL692" i="1"/>
  <c r="AM716" i="1"/>
  <c r="AL716" i="1"/>
  <c r="AM740" i="1"/>
  <c r="AL740" i="1"/>
  <c r="AN764" i="1"/>
  <c r="AM764" i="1"/>
  <c r="AL764" i="1"/>
  <c r="AN768" i="1"/>
  <c r="AM768" i="1"/>
  <c r="AL768" i="1"/>
  <c r="AN772" i="1"/>
  <c r="AM772" i="1"/>
  <c r="AL772" i="1"/>
  <c r="AN776" i="1"/>
  <c r="AM776" i="1"/>
  <c r="AL776" i="1"/>
  <c r="AN780" i="1"/>
  <c r="AM780" i="1"/>
  <c r="AL780" i="1"/>
  <c r="AN784" i="1"/>
  <c r="AM784" i="1"/>
  <c r="AL784" i="1"/>
  <c r="AN788" i="1"/>
  <c r="AM788" i="1"/>
  <c r="AL788" i="1"/>
  <c r="AN792" i="1"/>
  <c r="AM792" i="1"/>
  <c r="AL792" i="1"/>
  <c r="AL626" i="1"/>
  <c r="AN629" i="1"/>
  <c r="AL632" i="1"/>
  <c r="AN635" i="1"/>
  <c r="AL638" i="1"/>
  <c r="AN641" i="1"/>
  <c r="AL644" i="1"/>
  <c r="AN647" i="1"/>
  <c r="AL650" i="1"/>
  <c r="AN653" i="1"/>
  <c r="AL656" i="1"/>
  <c r="AN659" i="1"/>
  <c r="AL662" i="1"/>
  <c r="AN665" i="1"/>
  <c r="AL668" i="1"/>
  <c r="AL674" i="1"/>
  <c r="AL680" i="1"/>
  <c r="AM700" i="1"/>
  <c r="AL700" i="1"/>
  <c r="AM724" i="1"/>
  <c r="AL724" i="1"/>
  <c r="AM748" i="1"/>
  <c r="AL748" i="1"/>
  <c r="AN755" i="1"/>
  <c r="AL755" i="1"/>
  <c r="AL669" i="1"/>
  <c r="AL671" i="1"/>
  <c r="AL673" i="1"/>
  <c r="AL675" i="1"/>
  <c r="AL677" i="1"/>
  <c r="AL679" i="1"/>
  <c r="AL681" i="1"/>
  <c r="AL683" i="1"/>
  <c r="AL685" i="1"/>
  <c r="AL687" i="1"/>
  <c r="AL689" i="1"/>
  <c r="AL691" i="1"/>
  <c r="AL693" i="1"/>
  <c r="AL695" i="1"/>
  <c r="AL697" i="1"/>
  <c r="AL699" i="1"/>
  <c r="AL701" i="1"/>
  <c r="AL703" i="1"/>
  <c r="AL705" i="1"/>
  <c r="AL707" i="1"/>
  <c r="AL709" i="1"/>
  <c r="AL711" i="1"/>
  <c r="AL713" i="1"/>
  <c r="AL715" i="1"/>
  <c r="AL717" i="1"/>
  <c r="AL719" i="1"/>
  <c r="AL721" i="1"/>
  <c r="AL723" i="1"/>
  <c r="AL725" i="1"/>
  <c r="AL727" i="1"/>
  <c r="AL729" i="1"/>
  <c r="AL731" i="1"/>
  <c r="AL733" i="1"/>
  <c r="AL735" i="1"/>
  <c r="AL737" i="1"/>
  <c r="AL739" i="1"/>
  <c r="AL741" i="1"/>
  <c r="AL743" i="1"/>
  <c r="AL745" i="1"/>
  <c r="AL747" i="1"/>
  <c r="AL749" i="1"/>
  <c r="AL793" i="1"/>
  <c r="AI141" i="1" l="1"/>
  <c r="AJ141" i="1"/>
  <c r="AK141" i="1"/>
  <c r="AI142" i="1"/>
  <c r="AJ142" i="1"/>
  <c r="AK142" i="1"/>
  <c r="AI143" i="1"/>
  <c r="AJ143" i="1"/>
  <c r="AK143" i="1"/>
  <c r="AI144" i="1"/>
  <c r="AJ144" i="1"/>
  <c r="AK144" i="1"/>
  <c r="AI145" i="1"/>
  <c r="AJ145" i="1"/>
  <c r="AK145" i="1"/>
  <c r="AI146" i="1"/>
  <c r="AJ146" i="1"/>
  <c r="AK146" i="1"/>
  <c r="AI147" i="1"/>
  <c r="AJ147" i="1"/>
  <c r="AK147" i="1"/>
  <c r="AI148" i="1"/>
  <c r="AJ148" i="1"/>
  <c r="AK148" i="1"/>
  <c r="AI149" i="1"/>
  <c r="AJ149" i="1"/>
  <c r="AK149" i="1"/>
  <c r="AI150" i="1"/>
  <c r="AJ150" i="1"/>
  <c r="AK150" i="1"/>
  <c r="AI151" i="1"/>
  <c r="AJ151" i="1"/>
  <c r="AK151" i="1"/>
  <c r="AI152" i="1"/>
  <c r="AJ152" i="1"/>
  <c r="AK152" i="1"/>
  <c r="AI153" i="1"/>
  <c r="AJ153" i="1"/>
  <c r="AK153" i="1"/>
  <c r="AI154" i="1"/>
  <c r="AJ154" i="1"/>
  <c r="AK154" i="1"/>
  <c r="AI155" i="1"/>
  <c r="AJ155" i="1"/>
  <c r="AK155" i="1"/>
  <c r="AI156" i="1"/>
  <c r="AJ156" i="1"/>
  <c r="AK156" i="1"/>
  <c r="AI157" i="1"/>
  <c r="AJ157" i="1"/>
  <c r="AK157" i="1"/>
  <c r="AI158" i="1"/>
  <c r="AJ158" i="1"/>
  <c r="AK158" i="1"/>
  <c r="AI159" i="1"/>
  <c r="AJ159" i="1"/>
  <c r="AK159" i="1"/>
  <c r="AI160" i="1"/>
  <c r="AJ160" i="1"/>
  <c r="AK160" i="1"/>
  <c r="AI161" i="1"/>
  <c r="AJ161" i="1"/>
  <c r="AK161" i="1"/>
  <c r="AI162" i="1"/>
  <c r="AJ162" i="1"/>
  <c r="AK162" i="1"/>
  <c r="AI163" i="1"/>
  <c r="AJ163" i="1"/>
  <c r="AK163" i="1"/>
  <c r="AI164" i="1"/>
  <c r="AJ164" i="1"/>
  <c r="AK164" i="1"/>
  <c r="AI165" i="1"/>
  <c r="AJ165" i="1"/>
  <c r="AK165" i="1"/>
  <c r="AI166" i="1"/>
  <c r="AJ166" i="1"/>
  <c r="AK166" i="1"/>
  <c r="AI167" i="1"/>
  <c r="AJ167" i="1"/>
  <c r="AK167" i="1"/>
  <c r="AI168" i="1"/>
  <c r="AJ168" i="1"/>
  <c r="AK168" i="1"/>
  <c r="AI169" i="1"/>
  <c r="AJ169" i="1"/>
  <c r="AK169" i="1"/>
  <c r="AI170" i="1"/>
  <c r="AJ170" i="1"/>
  <c r="AK170" i="1"/>
  <c r="AI171" i="1"/>
  <c r="AJ171" i="1"/>
  <c r="AK171" i="1"/>
  <c r="AI172" i="1"/>
  <c r="AJ172" i="1"/>
  <c r="AK172" i="1"/>
  <c r="AI173" i="1"/>
  <c r="AJ173" i="1"/>
  <c r="AK173" i="1"/>
  <c r="AI174" i="1"/>
  <c r="AJ174" i="1"/>
  <c r="AK174" i="1"/>
  <c r="AI175" i="1"/>
  <c r="AJ175" i="1"/>
  <c r="AK175" i="1"/>
  <c r="AI176" i="1"/>
  <c r="AJ176" i="1"/>
  <c r="AK176" i="1"/>
  <c r="AI177" i="1"/>
  <c r="AJ177" i="1"/>
  <c r="AK177" i="1"/>
  <c r="AI178" i="1"/>
  <c r="AJ178" i="1"/>
  <c r="AK178" i="1"/>
  <c r="AI179" i="1"/>
  <c r="AJ179" i="1"/>
  <c r="AK179" i="1"/>
  <c r="AI180" i="1"/>
  <c r="AJ180" i="1"/>
  <c r="AK180" i="1"/>
  <c r="AI181" i="1"/>
  <c r="AJ181" i="1"/>
  <c r="AK181" i="1"/>
  <c r="AI182" i="1"/>
  <c r="AJ182" i="1"/>
  <c r="AK182" i="1"/>
  <c r="AI183" i="1"/>
  <c r="AJ183" i="1"/>
  <c r="AK183" i="1"/>
  <c r="AI184" i="1"/>
  <c r="AJ184" i="1"/>
  <c r="AK184" i="1"/>
  <c r="AI185" i="1"/>
  <c r="AJ185" i="1"/>
  <c r="AK185" i="1"/>
  <c r="AI186" i="1"/>
  <c r="AJ186" i="1"/>
  <c r="AK186" i="1"/>
  <c r="AI187" i="1"/>
  <c r="AJ187" i="1"/>
  <c r="AK187" i="1"/>
  <c r="AI188" i="1"/>
  <c r="AJ188" i="1"/>
  <c r="AK188" i="1"/>
  <c r="AI189" i="1"/>
  <c r="AJ189" i="1"/>
  <c r="AK189" i="1"/>
  <c r="AI190" i="1"/>
  <c r="AJ190" i="1"/>
  <c r="AK190" i="1"/>
  <c r="AI191" i="1"/>
  <c r="AJ191" i="1"/>
  <c r="AK191" i="1"/>
  <c r="AI192" i="1"/>
  <c r="AJ192" i="1"/>
  <c r="AK192" i="1"/>
  <c r="AI193" i="1"/>
  <c r="AJ193" i="1"/>
  <c r="AK193" i="1"/>
  <c r="AI194" i="1"/>
  <c r="AJ194" i="1"/>
  <c r="AK194" i="1"/>
  <c r="AI195" i="1"/>
  <c r="AJ195" i="1"/>
  <c r="AK195" i="1"/>
  <c r="AI196" i="1"/>
  <c r="AJ196" i="1"/>
  <c r="AK196" i="1"/>
  <c r="AI197" i="1"/>
  <c r="AJ197" i="1"/>
  <c r="AK197" i="1"/>
  <c r="AI198" i="1"/>
  <c r="AJ198" i="1"/>
  <c r="AK198" i="1"/>
  <c r="AI199" i="1"/>
  <c r="AJ199" i="1"/>
  <c r="AK199" i="1"/>
  <c r="AI200" i="1"/>
  <c r="AJ200" i="1"/>
  <c r="AK200" i="1"/>
  <c r="AI201" i="1"/>
  <c r="AJ201" i="1"/>
  <c r="AK201" i="1"/>
  <c r="AI202" i="1"/>
  <c r="AJ202" i="1"/>
  <c r="AK202" i="1"/>
  <c r="AI203" i="1"/>
  <c r="AJ203" i="1"/>
  <c r="AK203" i="1"/>
  <c r="AI204" i="1"/>
  <c r="AJ204" i="1"/>
  <c r="AK204" i="1"/>
  <c r="AI205" i="1"/>
  <c r="AJ205" i="1"/>
  <c r="AK205" i="1"/>
  <c r="AI206" i="1"/>
  <c r="AJ206" i="1"/>
  <c r="AK206" i="1"/>
  <c r="AI207" i="1"/>
  <c r="AJ207" i="1"/>
  <c r="AK207" i="1"/>
  <c r="AI208" i="1"/>
  <c r="AJ208" i="1"/>
  <c r="AK208" i="1"/>
  <c r="AI209" i="1"/>
  <c r="AJ209" i="1"/>
  <c r="AK209" i="1"/>
  <c r="AI210" i="1"/>
  <c r="AJ210" i="1"/>
  <c r="AK210" i="1"/>
  <c r="AI211" i="1"/>
  <c r="AJ211" i="1"/>
  <c r="AK211" i="1"/>
  <c r="AI212" i="1"/>
  <c r="AJ212" i="1"/>
  <c r="AK212" i="1"/>
  <c r="AI213" i="1"/>
  <c r="AJ213" i="1"/>
  <c r="AK213" i="1"/>
  <c r="AI214" i="1"/>
  <c r="AJ214" i="1"/>
  <c r="AK214" i="1"/>
  <c r="AI215" i="1"/>
  <c r="AJ215" i="1"/>
  <c r="AK215" i="1"/>
  <c r="AI216" i="1"/>
  <c r="AJ216" i="1"/>
  <c r="AK216" i="1"/>
  <c r="AI217" i="1"/>
  <c r="AJ217" i="1"/>
  <c r="AK217" i="1"/>
  <c r="AI218" i="1"/>
  <c r="AJ218" i="1"/>
  <c r="AK218" i="1"/>
  <c r="AI219" i="1"/>
  <c r="AJ219" i="1"/>
  <c r="AK219" i="1"/>
  <c r="AI220" i="1"/>
  <c r="AJ220" i="1"/>
  <c r="AK220" i="1"/>
  <c r="AI221" i="1"/>
  <c r="AJ221" i="1"/>
  <c r="AK221" i="1"/>
  <c r="AI222" i="1"/>
  <c r="AJ222" i="1"/>
  <c r="AK222" i="1"/>
  <c r="AI223" i="1"/>
  <c r="AJ223" i="1"/>
  <c r="AK223" i="1"/>
  <c r="AI224" i="1"/>
  <c r="AJ224" i="1"/>
  <c r="AK224" i="1"/>
  <c r="AI225" i="1"/>
  <c r="AJ225" i="1"/>
  <c r="AK225" i="1"/>
  <c r="AI226" i="1"/>
  <c r="AJ226" i="1"/>
  <c r="AK226" i="1"/>
  <c r="AI227" i="1"/>
  <c r="AJ227" i="1"/>
  <c r="AK227" i="1"/>
  <c r="AI228" i="1"/>
  <c r="AJ228" i="1"/>
  <c r="AK228" i="1"/>
  <c r="AI229" i="1"/>
  <c r="AJ229" i="1"/>
  <c r="AK229" i="1"/>
  <c r="AI230" i="1"/>
  <c r="AJ230" i="1"/>
  <c r="AK230" i="1"/>
  <c r="AI231" i="1"/>
  <c r="AJ231" i="1"/>
  <c r="AK231" i="1"/>
  <c r="AI232" i="1"/>
  <c r="AJ232" i="1"/>
  <c r="AK232" i="1"/>
  <c r="AI233" i="1"/>
  <c r="AJ233" i="1"/>
  <c r="AK233" i="1"/>
  <c r="AI234" i="1"/>
  <c r="AJ234" i="1"/>
  <c r="AK234" i="1"/>
  <c r="AI235" i="1"/>
  <c r="AJ235" i="1"/>
  <c r="AK235" i="1"/>
  <c r="AI236" i="1"/>
  <c r="AJ236" i="1"/>
  <c r="AK236" i="1"/>
  <c r="AI237" i="1"/>
  <c r="AJ237" i="1"/>
  <c r="AK237" i="1"/>
  <c r="AI238" i="1"/>
  <c r="AJ238" i="1"/>
  <c r="AK238" i="1"/>
  <c r="AI239" i="1"/>
  <c r="AJ239" i="1"/>
  <c r="AK239" i="1"/>
  <c r="AI240" i="1"/>
  <c r="AJ240" i="1"/>
  <c r="AK240" i="1"/>
  <c r="AI241" i="1"/>
  <c r="AJ241" i="1"/>
  <c r="AK241" i="1"/>
  <c r="AI242" i="1"/>
  <c r="AJ242" i="1"/>
  <c r="AK242" i="1"/>
  <c r="AI243" i="1"/>
  <c r="AJ243" i="1"/>
  <c r="AK243" i="1"/>
  <c r="AM206" i="1" l="1"/>
  <c r="AM202" i="1"/>
  <c r="AM198" i="1"/>
  <c r="AM194" i="1"/>
  <c r="AM190" i="1"/>
  <c r="AM186" i="1"/>
  <c r="AM182" i="1"/>
  <c r="AM178" i="1"/>
  <c r="AM174" i="1"/>
  <c r="AM170" i="1"/>
  <c r="AM166" i="1"/>
  <c r="AM162" i="1"/>
  <c r="AM158" i="1"/>
  <c r="AM154" i="1"/>
  <c r="AM150" i="1"/>
  <c r="AM146" i="1"/>
  <c r="AM142" i="1"/>
  <c r="AM220" i="1"/>
  <c r="AM216" i="1"/>
  <c r="AM212" i="1"/>
  <c r="AM208" i="1"/>
  <c r="AM204" i="1"/>
  <c r="AM200" i="1"/>
  <c r="AM196" i="1"/>
  <c r="AM192" i="1"/>
  <c r="AM188" i="1"/>
  <c r="AM184" i="1"/>
  <c r="AM180" i="1"/>
  <c r="AM176" i="1"/>
  <c r="AM172" i="1"/>
  <c r="AM168" i="1"/>
  <c r="AM164" i="1"/>
  <c r="AM160" i="1"/>
  <c r="AM156" i="1"/>
  <c r="AM152" i="1"/>
  <c r="AM148" i="1"/>
  <c r="AM144" i="1"/>
  <c r="AL149" i="1"/>
  <c r="AL145" i="1"/>
  <c r="AL141" i="1"/>
  <c r="AN239" i="1"/>
  <c r="AN207" i="1"/>
  <c r="AN203" i="1"/>
  <c r="AN199" i="1"/>
  <c r="AN195" i="1"/>
  <c r="AN191" i="1"/>
  <c r="AN187" i="1"/>
  <c r="AN183" i="1"/>
  <c r="AN179" i="1"/>
  <c r="AN175" i="1"/>
  <c r="AN171" i="1"/>
  <c r="AN163" i="1"/>
  <c r="AN159" i="1"/>
  <c r="AN155" i="1"/>
  <c r="AN151" i="1"/>
  <c r="AN147" i="1"/>
  <c r="AN143" i="1"/>
  <c r="AM242" i="1"/>
  <c r="AL205" i="1"/>
  <c r="AL201" i="1"/>
  <c r="AM232" i="1"/>
  <c r="AM226" i="1"/>
  <c r="AN234" i="1"/>
  <c r="AM228" i="1"/>
  <c r="AL219" i="1"/>
  <c r="AL215" i="1"/>
  <c r="AL211" i="1"/>
  <c r="AM234" i="1"/>
  <c r="AN233" i="1"/>
  <c r="AN226" i="1"/>
  <c r="AN222" i="1"/>
  <c r="AN218" i="1"/>
  <c r="AN214" i="1"/>
  <c r="AN237" i="1"/>
  <c r="AN229" i="1"/>
  <c r="AN241" i="1"/>
  <c r="AL197" i="1"/>
  <c r="AL193" i="1"/>
  <c r="AL189" i="1"/>
  <c r="AL185" i="1"/>
  <c r="AL181" i="1"/>
  <c r="AL177" i="1"/>
  <c r="AL173" i="1"/>
  <c r="AL169" i="1"/>
  <c r="AL165" i="1"/>
  <c r="AN209" i="1"/>
  <c r="AM222" i="1"/>
  <c r="AN228" i="1"/>
  <c r="AN235" i="1"/>
  <c r="AN220" i="1"/>
  <c r="AN216" i="1"/>
  <c r="AN212" i="1"/>
  <c r="AN208" i="1"/>
  <c r="AN204" i="1"/>
  <c r="AN200" i="1"/>
  <c r="AN196" i="1"/>
  <c r="AN192" i="1"/>
  <c r="AN188" i="1"/>
  <c r="AN184" i="1"/>
  <c r="AN180" i="1"/>
  <c r="AN176" i="1"/>
  <c r="AN172" i="1"/>
  <c r="AN168" i="1"/>
  <c r="AN164" i="1"/>
  <c r="AN160" i="1"/>
  <c r="AN156" i="1"/>
  <c r="AL210" i="1"/>
  <c r="AN231" i="1"/>
  <c r="AL227" i="1"/>
  <c r="AL238" i="1"/>
  <c r="AL230" i="1"/>
  <c r="AN223" i="1"/>
  <c r="AN167" i="1"/>
  <c r="AL225" i="1"/>
  <c r="AL206" i="1"/>
  <c r="AL194" i="1"/>
  <c r="AL190" i="1"/>
  <c r="AL186" i="1"/>
  <c r="AL182" i="1"/>
  <c r="AL178" i="1"/>
  <c r="AL174" i="1"/>
  <c r="AL170" i="1"/>
  <c r="AL166" i="1"/>
  <c r="AL162" i="1"/>
  <c r="AL158" i="1"/>
  <c r="AL154" i="1"/>
  <c r="AL150" i="1"/>
  <c r="AL146" i="1"/>
  <c r="AL142" i="1"/>
  <c r="AL217" i="1"/>
  <c r="AN206" i="1"/>
  <c r="AN202" i="1"/>
  <c r="AN198" i="1"/>
  <c r="AN194" i="1"/>
  <c r="AN190" i="1"/>
  <c r="AN186" i="1"/>
  <c r="AN182" i="1"/>
  <c r="AN178" i="1"/>
  <c r="AN174" i="1"/>
  <c r="AN170" i="1"/>
  <c r="AN166" i="1"/>
  <c r="AN162" i="1"/>
  <c r="AN158" i="1"/>
  <c r="AL232" i="1"/>
  <c r="AL235" i="1"/>
  <c r="AN232" i="1"/>
  <c r="AL228" i="1"/>
  <c r="AM224" i="1"/>
  <c r="AN221" i="1"/>
  <c r="AN217" i="1"/>
  <c r="AN213" i="1"/>
  <c r="AL209" i="1"/>
  <c r="AL198" i="1"/>
  <c r="AL161" i="1"/>
  <c r="AL157" i="1"/>
  <c r="AL153" i="1"/>
  <c r="AL243" i="1"/>
  <c r="AM238" i="1"/>
  <c r="AL231" i="1"/>
  <c r="AN224" i="1"/>
  <c r="AL220" i="1"/>
  <c r="AN205" i="1"/>
  <c r="AN201" i="1"/>
  <c r="AN197" i="1"/>
  <c r="AN193" i="1"/>
  <c r="AN189" i="1"/>
  <c r="AN185" i="1"/>
  <c r="AN181" i="1"/>
  <c r="AN177" i="1"/>
  <c r="AN173" i="1"/>
  <c r="AN169" i="1"/>
  <c r="AN165" i="1"/>
  <c r="AN161" i="1"/>
  <c r="AN157" i="1"/>
  <c r="AN153" i="1"/>
  <c r="AN149" i="1"/>
  <c r="AN145" i="1"/>
  <c r="AN141" i="1"/>
  <c r="AN210" i="1"/>
  <c r="AN243" i="1"/>
  <c r="AL239" i="1"/>
  <c r="AN242" i="1"/>
  <c r="AN238" i="1"/>
  <c r="AL234" i="1"/>
  <c r="AM230" i="1"/>
  <c r="AN227" i="1"/>
  <c r="AL223" i="1"/>
  <c r="AL208" i="1"/>
  <c r="AN240" i="1"/>
  <c r="AL221" i="1"/>
  <c r="AL213" i="1"/>
  <c r="AL241" i="1"/>
  <c r="AL237" i="1"/>
  <c r="AN230" i="1"/>
  <c r="AN219" i="1"/>
  <c r="AN215" i="1"/>
  <c r="AN211" i="1"/>
  <c r="AL151" i="1"/>
  <c r="AL147" i="1"/>
  <c r="AL143" i="1"/>
  <c r="AN236" i="1"/>
  <c r="AN225" i="1"/>
  <c r="AL233" i="1"/>
  <c r="AL226" i="1"/>
  <c r="AM218" i="1"/>
  <c r="AM214" i="1"/>
  <c r="AM210" i="1"/>
  <c r="AL207" i="1"/>
  <c r="AL203" i="1"/>
  <c r="AL199" i="1"/>
  <c r="AL195" i="1"/>
  <c r="AL191" i="1"/>
  <c r="AL187" i="1"/>
  <c r="AL183" i="1"/>
  <c r="AL179" i="1"/>
  <c r="AL175" i="1"/>
  <c r="AL171" i="1"/>
  <c r="AL167" i="1"/>
  <c r="AL163" i="1"/>
  <c r="AL159" i="1"/>
  <c r="AL155" i="1"/>
  <c r="AL202" i="1"/>
  <c r="AM240" i="1"/>
  <c r="AM236" i="1"/>
  <c r="AL229" i="1"/>
  <c r="AL214" i="1"/>
  <c r="AL240" i="1"/>
  <c r="AL216" i="1"/>
  <c r="AL222" i="1"/>
  <c r="AL236" i="1"/>
  <c r="AL212" i="1"/>
  <c r="AL242" i="1"/>
  <c r="AL218" i="1"/>
  <c r="AL204" i="1"/>
  <c r="AL200" i="1"/>
  <c r="AL196" i="1"/>
  <c r="AL192" i="1"/>
  <c r="AL188" i="1"/>
  <c r="AL184" i="1"/>
  <c r="AL180" i="1"/>
  <c r="AL176" i="1"/>
  <c r="AL172" i="1"/>
  <c r="AL168" i="1"/>
  <c r="AL164" i="1"/>
  <c r="AL160" i="1"/>
  <c r="AL156" i="1"/>
  <c r="AL152" i="1"/>
  <c r="AL148" i="1"/>
  <c r="AL144" i="1"/>
  <c r="AL224" i="1"/>
  <c r="AN154" i="1"/>
  <c r="AN152" i="1"/>
  <c r="AN150" i="1"/>
  <c r="AN148" i="1"/>
  <c r="AN146" i="1"/>
  <c r="AN144" i="1"/>
  <c r="AN142" i="1"/>
  <c r="AM243" i="1"/>
  <c r="AM241" i="1"/>
  <c r="AM239" i="1"/>
  <c r="AM237" i="1"/>
  <c r="AM235" i="1"/>
  <c r="AM233" i="1"/>
  <c r="AM231" i="1"/>
  <c r="AM229" i="1"/>
  <c r="AM227" i="1"/>
  <c r="AM225" i="1"/>
  <c r="AM223" i="1"/>
  <c r="AM221" i="1"/>
  <c r="AM219" i="1"/>
  <c r="AM217" i="1"/>
  <c r="AM215" i="1"/>
  <c r="AM213" i="1"/>
  <c r="AM211" i="1"/>
  <c r="AM209" i="1"/>
  <c r="AM207" i="1"/>
  <c r="AM205" i="1"/>
  <c r="AM203" i="1"/>
  <c r="AM201" i="1"/>
  <c r="AM199" i="1"/>
  <c r="AM197" i="1"/>
  <c r="AM195" i="1"/>
  <c r="AM193" i="1"/>
  <c r="AM191" i="1"/>
  <c r="AM189" i="1"/>
  <c r="AM187" i="1"/>
  <c r="AM185" i="1"/>
  <c r="AM183" i="1"/>
  <c r="AM181" i="1"/>
  <c r="AM179" i="1"/>
  <c r="AM177" i="1"/>
  <c r="AM175" i="1"/>
  <c r="AM173" i="1"/>
  <c r="AM171" i="1"/>
  <c r="AM169" i="1"/>
  <c r="AM167" i="1"/>
  <c r="AM165" i="1"/>
  <c r="AM163" i="1"/>
  <c r="AM161" i="1"/>
  <c r="AM159" i="1"/>
  <c r="AM157" i="1"/>
  <c r="AM155" i="1"/>
  <c r="AM153" i="1"/>
  <c r="AM151" i="1"/>
  <c r="AM149" i="1"/>
  <c r="AM147" i="1"/>
  <c r="AM145" i="1"/>
  <c r="AM143" i="1"/>
  <c r="AM141" i="1"/>
  <c r="AI244" i="1" l="1"/>
  <c r="AJ244" i="1"/>
  <c r="AK244" i="1"/>
  <c r="AI245" i="1"/>
  <c r="AJ245" i="1"/>
  <c r="AK245" i="1"/>
  <c r="AI246" i="1"/>
  <c r="AJ246" i="1"/>
  <c r="AK246" i="1"/>
  <c r="AI247" i="1"/>
  <c r="AJ247" i="1"/>
  <c r="AK247" i="1"/>
  <c r="AI248" i="1"/>
  <c r="AJ248" i="1"/>
  <c r="AK248" i="1"/>
  <c r="AI249" i="1"/>
  <c r="AJ249" i="1"/>
  <c r="AK249" i="1"/>
  <c r="AI250" i="1"/>
  <c r="AJ250" i="1"/>
  <c r="AK250" i="1"/>
  <c r="AI251" i="1"/>
  <c r="AJ251" i="1"/>
  <c r="AK251" i="1"/>
  <c r="AI252" i="1"/>
  <c r="AJ252" i="1"/>
  <c r="AK252" i="1"/>
  <c r="AI253" i="1"/>
  <c r="AJ253" i="1"/>
  <c r="AK253" i="1"/>
  <c r="AI254" i="1"/>
  <c r="AJ254" i="1"/>
  <c r="AK254" i="1"/>
  <c r="AI255" i="1"/>
  <c r="AJ255" i="1"/>
  <c r="AK255" i="1"/>
  <c r="AI256" i="1"/>
  <c r="AJ256" i="1"/>
  <c r="AK256" i="1"/>
  <c r="AI257" i="1"/>
  <c r="AJ257" i="1"/>
  <c r="AK257" i="1"/>
  <c r="AI258" i="1"/>
  <c r="AJ258" i="1"/>
  <c r="AK258" i="1"/>
  <c r="AI259" i="1"/>
  <c r="AJ259" i="1"/>
  <c r="AK259" i="1"/>
  <c r="AI260" i="1"/>
  <c r="AJ260" i="1"/>
  <c r="AK260" i="1"/>
  <c r="AI261" i="1"/>
  <c r="AJ261" i="1"/>
  <c r="AK261" i="1"/>
  <c r="AI262" i="1"/>
  <c r="AJ262" i="1"/>
  <c r="AK262" i="1"/>
  <c r="AI263" i="1"/>
  <c r="AJ263" i="1"/>
  <c r="AK263" i="1"/>
  <c r="AI264" i="1"/>
  <c r="AJ264" i="1"/>
  <c r="AK264" i="1"/>
  <c r="AI265" i="1"/>
  <c r="AJ265" i="1"/>
  <c r="AK265" i="1"/>
  <c r="AI266" i="1"/>
  <c r="AJ266" i="1"/>
  <c r="AK266" i="1"/>
  <c r="AI267" i="1"/>
  <c r="AJ267" i="1"/>
  <c r="AK267" i="1"/>
  <c r="AI268" i="1"/>
  <c r="AJ268" i="1"/>
  <c r="AK268" i="1"/>
  <c r="AI269" i="1"/>
  <c r="AJ269" i="1"/>
  <c r="AK269" i="1"/>
  <c r="AI270" i="1"/>
  <c r="AJ270" i="1"/>
  <c r="AK270" i="1"/>
  <c r="AI271" i="1"/>
  <c r="AJ271" i="1"/>
  <c r="AK271" i="1"/>
  <c r="AI272" i="1"/>
  <c r="AJ272" i="1"/>
  <c r="AK272" i="1"/>
  <c r="AI273" i="1"/>
  <c r="AJ273" i="1"/>
  <c r="AK273" i="1"/>
  <c r="AI274" i="1"/>
  <c r="AJ274" i="1"/>
  <c r="AK274" i="1"/>
  <c r="AI275" i="1"/>
  <c r="AJ275" i="1"/>
  <c r="AK275" i="1"/>
  <c r="AI276" i="1"/>
  <c r="AJ276" i="1"/>
  <c r="AK276" i="1"/>
  <c r="AI277" i="1"/>
  <c r="AJ277" i="1"/>
  <c r="AK277" i="1"/>
  <c r="AI278" i="1"/>
  <c r="AJ278" i="1"/>
  <c r="AK278" i="1"/>
  <c r="AI279" i="1"/>
  <c r="AJ279" i="1"/>
  <c r="AK279" i="1"/>
  <c r="AI280" i="1"/>
  <c r="AJ280" i="1"/>
  <c r="AK280" i="1"/>
  <c r="AI281" i="1"/>
  <c r="AJ281" i="1"/>
  <c r="AK281" i="1"/>
  <c r="AI282" i="1"/>
  <c r="AJ282" i="1"/>
  <c r="AK282" i="1"/>
  <c r="AI283" i="1"/>
  <c r="AJ283" i="1"/>
  <c r="AK283" i="1"/>
  <c r="AI284" i="1"/>
  <c r="AJ284" i="1"/>
  <c r="AK284" i="1"/>
  <c r="AI285" i="1"/>
  <c r="AJ285" i="1"/>
  <c r="AK285" i="1"/>
  <c r="AI286" i="1"/>
  <c r="AJ286" i="1"/>
  <c r="AK286" i="1"/>
  <c r="AI287" i="1"/>
  <c r="AJ287" i="1"/>
  <c r="AK287" i="1"/>
  <c r="AI288" i="1"/>
  <c r="AJ288" i="1"/>
  <c r="AK288" i="1"/>
  <c r="AI289" i="1"/>
  <c r="AJ289" i="1"/>
  <c r="AK289" i="1"/>
  <c r="AI290" i="1"/>
  <c r="AJ290" i="1"/>
  <c r="AK290" i="1"/>
  <c r="AI291" i="1"/>
  <c r="AJ291" i="1"/>
  <c r="AK291" i="1"/>
  <c r="AI292" i="1"/>
  <c r="AJ292" i="1"/>
  <c r="AK292" i="1"/>
  <c r="AI293" i="1"/>
  <c r="AJ293" i="1"/>
  <c r="AK293" i="1"/>
  <c r="AI294" i="1"/>
  <c r="AJ294" i="1"/>
  <c r="AK294" i="1"/>
  <c r="AI295" i="1"/>
  <c r="AJ295" i="1"/>
  <c r="AK295" i="1"/>
  <c r="AI296" i="1"/>
  <c r="AJ296" i="1"/>
  <c r="AK296" i="1"/>
  <c r="AI297" i="1"/>
  <c r="AJ297" i="1"/>
  <c r="AK297" i="1"/>
  <c r="AI298" i="1"/>
  <c r="AJ298" i="1"/>
  <c r="AK298" i="1"/>
  <c r="AI299" i="1"/>
  <c r="AJ299" i="1"/>
  <c r="AK299" i="1"/>
  <c r="AI300" i="1"/>
  <c r="AJ300" i="1"/>
  <c r="AK300" i="1"/>
  <c r="AI301" i="1"/>
  <c r="AJ301" i="1"/>
  <c r="AK301" i="1"/>
  <c r="AI302" i="1"/>
  <c r="AJ302" i="1"/>
  <c r="AK302" i="1"/>
  <c r="AI303" i="1"/>
  <c r="AJ303" i="1"/>
  <c r="AK303" i="1"/>
  <c r="AI304" i="1"/>
  <c r="AJ304" i="1"/>
  <c r="AK304" i="1"/>
  <c r="AM269" i="1" l="1"/>
  <c r="AM299" i="1"/>
  <c r="AM291" i="1"/>
  <c r="AM295" i="1"/>
  <c r="AM253" i="1"/>
  <c r="AM285" i="1"/>
  <c r="AM289" i="1"/>
  <c r="AM256" i="1"/>
  <c r="AN288" i="1"/>
  <c r="AN284" i="1"/>
  <c r="AM301" i="1"/>
  <c r="AN304" i="1"/>
  <c r="AN276" i="1"/>
  <c r="AM263" i="1"/>
  <c r="AM259" i="1"/>
  <c r="AN266" i="1"/>
  <c r="AM281" i="1"/>
  <c r="AL257" i="1"/>
  <c r="AN274" i="1"/>
  <c r="AN270" i="1"/>
  <c r="AM304" i="1"/>
  <c r="AM284" i="1"/>
  <c r="AM272" i="1"/>
  <c r="AM264" i="1"/>
  <c r="AM290" i="1"/>
  <c r="AM270" i="1"/>
  <c r="AM258" i="1"/>
  <c r="AM246" i="1"/>
  <c r="AM297" i="1"/>
  <c r="AN258" i="1"/>
  <c r="AM255" i="1"/>
  <c r="AM251" i="1"/>
  <c r="AM247" i="1"/>
  <c r="AM254" i="1"/>
  <c r="AM273" i="1"/>
  <c r="AM271" i="1"/>
  <c r="AM287" i="1"/>
  <c r="AL260" i="1"/>
  <c r="AM303" i="1"/>
  <c r="AL276" i="1"/>
  <c r="AM294" i="1"/>
  <c r="AL290" i="1"/>
  <c r="AM283" i="1"/>
  <c r="AM279" i="1"/>
  <c r="AM245" i="1"/>
  <c r="AL304" i="1"/>
  <c r="AM286" i="1"/>
  <c r="AM267" i="1"/>
  <c r="AM274" i="1"/>
  <c r="AL252" i="1"/>
  <c r="AM248" i="1"/>
  <c r="AL266" i="1"/>
  <c r="AL300" i="1"/>
  <c r="AL258" i="1"/>
  <c r="AL250" i="1"/>
  <c r="AL298" i="1"/>
  <c r="AN294" i="1"/>
  <c r="AL284" i="1"/>
  <c r="AM280" i="1"/>
  <c r="AM266" i="1"/>
  <c r="AN246" i="1"/>
  <c r="AL267" i="1"/>
  <c r="AL301" i="1"/>
  <c r="AL253" i="1"/>
  <c r="AM249" i="1"/>
  <c r="AM300" i="1"/>
  <c r="AM293" i="1"/>
  <c r="AL287" i="1"/>
  <c r="AN280" i="1"/>
  <c r="AM276" i="1"/>
  <c r="AL273" i="1"/>
  <c r="AM262" i="1"/>
  <c r="AN256" i="1"/>
  <c r="AM252" i="1"/>
  <c r="AN290" i="1"/>
  <c r="AL292" i="1"/>
  <c r="AM265" i="1"/>
  <c r="AL244" i="1"/>
  <c r="AM275" i="1"/>
  <c r="AM261" i="1"/>
  <c r="AN286" i="1"/>
  <c r="AN272" i="1"/>
  <c r="AM296" i="1"/>
  <c r="AM302" i="1"/>
  <c r="AL282" i="1"/>
  <c r="AM278" i="1"/>
  <c r="AL268" i="1"/>
  <c r="AM260" i="1"/>
  <c r="AN302" i="1"/>
  <c r="AM288" i="1"/>
  <c r="AL285" i="1"/>
  <c r="AM277" i="1"/>
  <c r="AL274" i="1"/>
  <c r="AL271" i="1"/>
  <c r="AM257" i="1"/>
  <c r="AN254" i="1"/>
  <c r="AN292" i="1"/>
  <c r="AL275" i="1"/>
  <c r="AN244" i="1"/>
  <c r="AL281" i="1"/>
  <c r="AN264" i="1"/>
  <c r="AL247" i="1"/>
  <c r="AL303" i="1"/>
  <c r="AL289" i="1"/>
  <c r="AN300" i="1"/>
  <c r="AL283" i="1"/>
  <c r="AM268" i="1"/>
  <c r="AN252" i="1"/>
  <c r="AN250" i="1"/>
  <c r="AL297" i="1"/>
  <c r="AL249" i="1"/>
  <c r="AL261" i="1"/>
  <c r="AL269" i="1"/>
  <c r="AL255" i="1"/>
  <c r="AM282" i="1"/>
  <c r="AL277" i="1"/>
  <c r="AL263" i="1"/>
  <c r="AL291" i="1"/>
  <c r="AN260" i="1"/>
  <c r="AN298" i="1"/>
  <c r="AN268" i="1"/>
  <c r="AL251" i="1"/>
  <c r="AL295" i="1"/>
  <c r="AL299" i="1"/>
  <c r="AM298" i="1"/>
  <c r="AN296" i="1"/>
  <c r="AL293" i="1"/>
  <c r="AN282" i="1"/>
  <c r="AL279" i="1"/>
  <c r="AL265" i="1"/>
  <c r="AN262" i="1"/>
  <c r="AM250" i="1"/>
  <c r="AN248" i="1"/>
  <c r="AL245" i="1"/>
  <c r="AN278" i="1"/>
  <c r="AM292" i="1"/>
  <c r="AL259" i="1"/>
  <c r="AM244" i="1"/>
  <c r="AL302" i="1"/>
  <c r="AL278" i="1"/>
  <c r="AL270" i="1"/>
  <c r="AL262" i="1"/>
  <c r="AL254" i="1"/>
  <c r="AL246" i="1"/>
  <c r="AL294" i="1"/>
  <c r="AL286" i="1"/>
  <c r="AL296" i="1"/>
  <c r="AL280" i="1"/>
  <c r="AL288" i="1"/>
  <c r="AL272" i="1"/>
  <c r="AL264" i="1"/>
  <c r="AL256" i="1"/>
  <c r="AL248" i="1"/>
  <c r="AN303" i="1"/>
  <c r="AN301" i="1"/>
  <c r="AN299" i="1"/>
  <c r="AN297" i="1"/>
  <c r="AN295" i="1"/>
  <c r="AN293" i="1"/>
  <c r="AN291" i="1"/>
  <c r="AN289" i="1"/>
  <c r="AN287" i="1"/>
  <c r="AN285" i="1"/>
  <c r="AN283" i="1"/>
  <c r="AN281" i="1"/>
  <c r="AN279" i="1"/>
  <c r="AN277" i="1"/>
  <c r="AN275" i="1"/>
  <c r="AN273" i="1"/>
  <c r="AN271" i="1"/>
  <c r="AN269" i="1"/>
  <c r="AN267" i="1"/>
  <c r="AN265" i="1"/>
  <c r="AN263" i="1"/>
  <c r="AN261" i="1"/>
  <c r="AN259" i="1"/>
  <c r="AN257" i="1"/>
  <c r="AN255" i="1"/>
  <c r="AN253" i="1"/>
  <c r="AN251" i="1"/>
  <c r="AN249" i="1"/>
  <c r="AN247" i="1"/>
  <c r="AN245" i="1"/>
</calcChain>
</file>

<file path=xl/sharedStrings.xml><?xml version="1.0" encoding="utf-8"?>
<sst xmlns="http://schemas.openxmlformats.org/spreadsheetml/2006/main" count="1529" uniqueCount="443">
  <si>
    <t>TIPO</t>
  </si>
  <si>
    <t>ESPECIFICAÇÃO</t>
  </si>
  <si>
    <t>FAVORECIDO</t>
  </si>
  <si>
    <t>VALOR EMPENHADO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</si>
  <si>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</si>
  <si>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</si>
  <si>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</si>
  <si>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</si>
  <si>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</si>
  <si>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</si>
  <si>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</si>
  <si>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</si>
  <si>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</si>
  <si>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</si>
  <si>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</si>
  <si>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</si>
  <si>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ANULAÇÃO</t>
  </si>
  <si>
    <t>REFORÇO</t>
  </si>
  <si>
    <t>TOTAL EMPENHADO</t>
  </si>
  <si>
    <t>TOTAL LIQUIDADO</t>
  </si>
  <si>
    <t>TOTAL PAGO</t>
  </si>
  <si>
    <t>VALOR A PAGAR</t>
  </si>
  <si>
    <t>VALOR A PAGAR LIQUIDADO</t>
  </si>
  <si>
    <t>VALOR A LIQUIDAR</t>
  </si>
  <si>
    <t>LIQUIDAÇÃO</t>
  </si>
  <si>
    <t>PAGAMENTO</t>
  </si>
  <si>
    <t>ORDINARIO</t>
  </si>
  <si>
    <t>FONTE</t>
  </si>
  <si>
    <t>3.3.90.39</t>
  </si>
  <si>
    <t>3.3.90.33</t>
  </si>
  <si>
    <t>4.4.90.52</t>
  </si>
  <si>
    <t>534.224.495-16</t>
  </si>
  <si>
    <t>534.224.495-17</t>
  </si>
  <si>
    <t>CPF/CNPJ</t>
  </si>
  <si>
    <t>Empenho</t>
  </si>
  <si>
    <t>VENCIMENTO</t>
  </si>
  <si>
    <t>1899000000|0000</t>
  </si>
  <si>
    <t>1802000000|0000</t>
  </si>
  <si>
    <t>RELAÇÃO DE EMPENHOS, LIQUIDAÇÕES E PAGAMENTOS 2025</t>
  </si>
  <si>
    <t>OBRIGAÇÕES TRIBUTÁRIAS E CONTRIBUTIVAS</t>
  </si>
  <si>
    <t>BANCO DO BRASIL S/A</t>
  </si>
  <si>
    <t>00.000.000/0017-59</t>
  </si>
  <si>
    <t>PROVENTOS RESERVA PM</t>
  </si>
  <si>
    <t>MARIA JOSE DE ALCANTARA</t>
  </si>
  <si>
    <t>531.621.965-15</t>
  </si>
  <si>
    <t>FABIANA GOMES DOS SANTOS</t>
  </si>
  <si>
    <t>996.803.275-15</t>
  </si>
  <si>
    <t>MARIA CLARA GOMES DOS REIS SANTOS</t>
  </si>
  <si>
    <t>082.183.485-14</t>
  </si>
  <si>
    <t>GEANE ALVES DA SILVA</t>
  </si>
  <si>
    <t>006.019.555-01</t>
  </si>
  <si>
    <t>PROVENTOS REFORMA PM</t>
  </si>
  <si>
    <t>DACILENE SANTOS SILVA MELLO</t>
  </si>
  <si>
    <t>429.561.025-91</t>
  </si>
  <si>
    <t>KAUAN DIAS DA SILVA SANTOS</t>
  </si>
  <si>
    <t>082.503.705-03</t>
  </si>
  <si>
    <t>ESTIMATIVO</t>
  </si>
  <si>
    <t>44.315.919/0001-40</t>
  </si>
  <si>
    <t>FUNDACAO INSTITUTO DE ADMINISTRACAO</t>
  </si>
  <si>
    <t>SERVICO DE CONSULTORIA NA AREA ADMINISTRATIVA</t>
  </si>
  <si>
    <t>NILTEK SERVICOS EIRELI -EPP</t>
  </si>
  <si>
    <t>02.544.972/0001-72</t>
  </si>
  <si>
    <t>PRESTACAO DE MAO-DE-OBRA</t>
  </si>
  <si>
    <t>INSTITUTO NACIONAL DE SEGURO SOCIAL</t>
  </si>
  <si>
    <t>29.979.036/0416-88</t>
  </si>
  <si>
    <t>CONTRIBUIÇÕES PREVIDENCIÁRIAS S/SERV.TERCEIROS</t>
  </si>
  <si>
    <t>1803002510|2211</t>
  </si>
  <si>
    <t>1803002310|2211</t>
  </si>
  <si>
    <t>PASEP - RESSARCIMENTO DE CONTRIBUICAO</t>
  </si>
  <si>
    <t>OI S.A.</t>
  </si>
  <si>
    <t>76.535.764/0001-43</t>
  </si>
  <si>
    <t>SERVIÇO TELEFÔNICO FIXO</t>
  </si>
  <si>
    <t>IMPRENSA OFICIAL DE SERGIPE</t>
  </si>
  <si>
    <t>13.085.519/0001-61</t>
  </si>
  <si>
    <t>SERVICO DE PROPAGANDA E PUBLICIDADE</t>
  </si>
  <si>
    <t>ATUARIAL CONSULTORIA E ASSESSORIA EMPRESARIAL LTDA</t>
  </si>
  <si>
    <t>02.535.916/0001-71</t>
  </si>
  <si>
    <t>DANIEL VIEIRA DE ARAUJO FREIRE</t>
  </si>
  <si>
    <t>653.736.005-63</t>
  </si>
  <si>
    <t>SERVICO DE EVENTO CULTURAL</t>
  </si>
  <si>
    <t>APRESENTACAO ARTISTICA</t>
  </si>
  <si>
    <t>MARCOS AURELIO FERREIRA SANTOS</t>
  </si>
  <si>
    <t>842.323.405-30</t>
  </si>
  <si>
    <t>PRESERVE SEGURANCA E TRANSPORTE DE VALORES LTDA</t>
  </si>
  <si>
    <t>11.179.264/0013-04</t>
  </si>
  <si>
    <t>SERVICO DE VIGILANCIA DESARMADA</t>
  </si>
  <si>
    <t>15.607.021/0001-47</t>
  </si>
  <si>
    <t>SAMAM LOCADORA LTDA</t>
  </si>
  <si>
    <t>SERVICO DE LOCACAO DE VEICULOS</t>
  </si>
  <si>
    <t>AEREOTUR</t>
  </si>
  <si>
    <t>04.864.703/0001-19</t>
  </si>
  <si>
    <t>SERVICO DE FORNECIMENTO DE PASSAGEM</t>
  </si>
  <si>
    <t>JOSE ROBERTO DE LIMA ANDRADE</t>
  </si>
  <si>
    <t>517.822.435-34</t>
  </si>
  <si>
    <t>DIÁRIAS PESSOAL CIVIL FORA DO ESTADO/NO PAÍS</t>
  </si>
  <si>
    <t>EMPRESA BRASILEIRA DE CORREIOS E TELEGRAFOS</t>
  </si>
  <si>
    <t>34.028.316/0032-00</t>
  </si>
  <si>
    <t>SERVICO DE ENTREGA DE DOCUMENTOS</t>
  </si>
  <si>
    <t>EMPRESA DE TECNOLOGIA E INFORMACOES DA PREV. SOCIAL</t>
  </si>
  <si>
    <t>42.422.253/0001-01</t>
  </si>
  <si>
    <t>SERVICO DE SUPORTE - ADMINISTRAÇÃO E MANUTENÇÃO DA INFRAESTRUTURA DE REDE</t>
  </si>
  <si>
    <t>CAP SERVICOS E CONSTRUCAO EIRELI</t>
  </si>
  <si>
    <t>29.908.939/0001-30</t>
  </si>
  <si>
    <t>SERVICO DE LIMPEZA E CONSERVACAO PREDIAL</t>
  </si>
  <si>
    <t>MAIS VALIA CONSULTORIA LTDA</t>
  </si>
  <si>
    <t>22.687.467/0001-94</t>
  </si>
  <si>
    <t>TCAR LOCACAO DE VEICULOS LTDA</t>
  </si>
  <si>
    <t>14.311.143/0001-29</t>
  </si>
  <si>
    <t>JOSE NORMANDO DA MOTA GUIMARAES FILHO</t>
  </si>
  <si>
    <t>199.721.565-91</t>
  </si>
  <si>
    <t>ITEM GENÉRICO PARA EMPENHO FOLHA</t>
  </si>
  <si>
    <t>SERGIPE PREV.</t>
  </si>
  <si>
    <t>1500002510|2211</t>
  </si>
  <si>
    <t>1500002310|2211</t>
  </si>
  <si>
    <t>DIÁRIAS PESSOAL CIVIL DENTRO DO ESTADO</t>
  </si>
  <si>
    <t>ITAMARA ARAUJO SANTOS</t>
  </si>
  <si>
    <t>053.911.715-39</t>
  </si>
  <si>
    <t>ROMULO SOUZA NASCIMENTO</t>
  </si>
  <si>
    <t>005.418.245-03</t>
  </si>
  <si>
    <t>SERVIÇOS MÉDICOS, ODONTOLÓGICOS E FARMACÊUTICOS</t>
  </si>
  <si>
    <t>ALEXANDRE GOMES PINTO</t>
  </si>
  <si>
    <t>777.013.305-00</t>
  </si>
  <si>
    <t>SERVICO DE MANUTENCAO DE APARELHO/SISTEMA DE REFRIGERACAO</t>
  </si>
  <si>
    <t>ASSOCIACAO BRASILEIRA DE INSTITUICOES DE PREV.ESTADUAIS E MUNICIPAIS-ABIPEM</t>
  </si>
  <si>
    <t>29.184.280/0001-17</t>
  </si>
  <si>
    <t>ASSINATURAS DE PERIÓDICOS E PAGTº DE ANUIDADES OU MENSALIDADES A ENTIDADES</t>
  </si>
  <si>
    <t>BANCO DO ESTADO DE SERGIPE S/A</t>
  </si>
  <si>
    <t>13.009.717/0001-46</t>
  </si>
  <si>
    <t>SERVICO DE LIQUIDACAO E CUSTODIA DE TITULO E VALOR MOBILIARIO</t>
  </si>
  <si>
    <t>AGENDA ASSESSORIA,PLANEJAMENTO E INFORMATICA LTDA</t>
  </si>
  <si>
    <t>00.059.307/0001-68</t>
  </si>
  <si>
    <t>SERVICO DE MANUTENCAO EM PROGRAMA E SISTEMA NA AREA DE INFORMATICA</t>
  </si>
  <si>
    <t>ELOGICA PROCESSAMENTO DE DADOS LTDA</t>
  </si>
  <si>
    <t>11.376.753/0001-12</t>
  </si>
  <si>
    <t>SERVICO DE LOCACAO DE SOFTWARE</t>
  </si>
  <si>
    <t>SMART NX TECNOLOGIA LTDA</t>
  </si>
  <si>
    <t>27.447.387/0001-85</t>
  </si>
  <si>
    <t>SERVICO DE IMPLANTACAO SISTEMA</t>
  </si>
  <si>
    <t>VOYAGER SOLUCOES CORPORATIVAS EM TECNOLOGIA DA INFORMACAO LTDA.</t>
  </si>
  <si>
    <t>04.528.676/0001-03</t>
  </si>
  <si>
    <t>SISTEMA DE MONITORAMENTO</t>
  </si>
  <si>
    <t>LGC ADMINISTRACAO DE OBRAS LTDA</t>
  </si>
  <si>
    <t>50.816.544/0001-02</t>
  </si>
  <si>
    <t xml:space="preserve">	SERVICO DE MANUTENCAO EM EQUIPAMENTO ELETRICO E ELETRONICO</t>
  </si>
  <si>
    <t>ITEM GENÉRICO DE SERVIÇO PARA O BANCO DE PREÇOS</t>
  </si>
  <si>
    <t>CAIXA ECONOMICA FEDERAL</t>
  </si>
  <si>
    <t>00.360.305/0001-04</t>
  </si>
  <si>
    <t>FUNDO DE GARANTIA POR TEMPO DE SERVICO - FGTS</t>
  </si>
  <si>
    <t>INSTITUTO NACIONAL DE SEGURO SOCIAL - INSS EMPREGRADOR</t>
  </si>
  <si>
    <t>1500000000|0000</t>
  </si>
  <si>
    <t>FUNDACAO UNIVERSIDADE FEDERAL DE SERGIPE</t>
  </si>
  <si>
    <t>PESSOAL REQUISITADO - OUTROS ENTES E ESTATAIS INDEPENDENTES</t>
  </si>
  <si>
    <t>13.031.547/0001-04</t>
  </si>
  <si>
    <t>PESSOAL RELACIONADO EM FOLHA DE PAGAMENTO</t>
  </si>
  <si>
    <t>JETONS</t>
  </si>
  <si>
    <t>PREVNORDESTE SERGIPE</t>
  </si>
  <si>
    <t>48.307.666/0001-13</t>
  </si>
  <si>
    <t>OUTRAS OBRIGACOES RESULTANTES DA FOLHA PGTO.</t>
  </si>
  <si>
    <t>EVELLYN MARIA DORIA RIBEIRO</t>
  </si>
  <si>
    <t>090.625.965-76</t>
  </si>
  <si>
    <t>RECESSO ESTAGIÁRIOS</t>
  </si>
  <si>
    <t xml:space="preserve">ALBERTO DO MONTE ANDRADE </t>
  </si>
  <si>
    <t>15.291.555/0001-07</t>
  </si>
  <si>
    <t>SERVICO DE INSTALACAO DE ACESSORIOS EM GERAL</t>
  </si>
  <si>
    <t>SERVICO DE DIGITALIZACAO</t>
  </si>
  <si>
    <t>PA ARQUIVOS LTDA</t>
  </si>
  <si>
    <t>34.409.656/0001-84</t>
  </si>
  <si>
    <t>EMPRESA DE TECNOLOGIA E INFORMACOES DA PREV. SOCIAL -DATAPREV</t>
  </si>
  <si>
    <t>SERVICO DE SUPORTE</t>
  </si>
  <si>
    <t>EDITORA E GRAFICA L &amp; M</t>
  </si>
  <si>
    <t>00.299.160/0001-83</t>
  </si>
  <si>
    <t>SERVICO DE LOCACAO DE EQUIPAMENTOS DE INFORMATICA</t>
  </si>
  <si>
    <t>AMANDA KUMMER HORA GUIMARAES</t>
  </si>
  <si>
    <t>050.907.265-82</t>
  </si>
  <si>
    <t>SERVICO DE CONSULTORIA NA AREA EDUCACIONAL - TREINAMENTO PRESENCIAL</t>
  </si>
  <si>
    <t>SEBRAE-SE</t>
  </si>
  <si>
    <t>13.115.183/0001-32</t>
  </si>
  <si>
    <t>JORGE EDUARDO DE OLIVEIRA KRAUS</t>
  </si>
  <si>
    <t>047.550.115-23</t>
  </si>
  <si>
    <t>TAMARA ALENCAR ALVES</t>
  </si>
  <si>
    <t>052.190.585-09</t>
  </si>
  <si>
    <t>JUROS SOBRE OBRIGACOES PATRONAIS - RGPS</t>
  </si>
  <si>
    <t xml:space="preserve">MULTA SOBRE OBRIGACOES PATRONAIS - RGPS	</t>
  </si>
  <si>
    <t>FINANPREV</t>
  </si>
  <si>
    <t>FINANPREV PATRONAL - EXECUTIVO ATIVO CIVIL</t>
  </si>
  <si>
    <t>IPESAÚDE</t>
  </si>
  <si>
    <t>IPESAUDE PATRONAL</t>
  </si>
  <si>
    <t>PRIME CONSULTORIA E ASSESSORIA EMPRESARIAL LTDA</t>
  </si>
  <si>
    <t>05.340.639/0001-30</t>
  </si>
  <si>
    <t>SERVICO DE GESTAO ADMINISTRATIVA</t>
  </si>
  <si>
    <t>JARBAS OLIVEIRA GONCALVES</t>
  </si>
  <si>
    <t>045.005.855-75</t>
  </si>
  <si>
    <t>SUPRIMENTO INDIVIDUAL</t>
  </si>
  <si>
    <t>JESSICA MARIA MENEZES DE JESUS</t>
  </si>
  <si>
    <t>063.696.745-08</t>
  </si>
  <si>
    <t>SERGIO DE SOUZA LOPES</t>
  </si>
  <si>
    <t>068.558.495-04</t>
  </si>
  <si>
    <t>CARLA VANESSA MONTEIRO SANTOS BARRETO</t>
  </si>
  <si>
    <t>584.934.415-20</t>
  </si>
  <si>
    <t>FLAVIA MARIA AMARAL PORTO VALENCA</t>
  </si>
  <si>
    <t>962.016.224-20</t>
  </si>
  <si>
    <t>RC SEGURANCA DO TRABALHO LTDA</t>
  </si>
  <si>
    <t>38.928.121/0001-70</t>
  </si>
  <si>
    <t>SERVICO DE CONSULTORIA NA AREA DE SAUDE</t>
  </si>
  <si>
    <t>ANDRE LUIZ SOUZA COSTA</t>
  </si>
  <si>
    <t>35.481.523/0001-81</t>
  </si>
  <si>
    <t>CONDICIONADOR DE AR</t>
  </si>
  <si>
    <t>WILSON LUIZ SANTOS SILVA</t>
  </si>
  <si>
    <t>336.250.855-34</t>
  </si>
  <si>
    <t>PENSÕES MILITARES</t>
  </si>
  <si>
    <t>BRASILSEG COMPANHIA DE SEGUROS</t>
  </si>
  <si>
    <t>28.196.889/0001-43</t>
  </si>
  <si>
    <t>SERVICO DE SEGURO</t>
  </si>
  <si>
    <t>07.157.278/0001-16</t>
  </si>
  <si>
    <t>JL CONSTRUCOES LTDA</t>
  </si>
  <si>
    <t>RPPS BRASIL - PUBLICACOES E EVENTOS</t>
  </si>
  <si>
    <t>13.399.934/0001-90</t>
  </si>
  <si>
    <t>SERVICO DE ASSINATURA DE JORNAIS E PERIODICOS - REVISTA</t>
  </si>
  <si>
    <t>BK TELECOMUNICACOES LTDA - ME</t>
  </si>
  <si>
    <t>18.929.415/0001-00</t>
  </si>
  <si>
    <t>SERVIÇO DE CONECTIVIDADE DE REDE PARA PROVER TRAFEGO DE DADOS, VOZ E IMAGEM UTILIZANDO MPLS</t>
  </si>
  <si>
    <t>SERVIÇOS DE CONEXÃO À REDE MUNDIAL DE COMPUTADORES</t>
  </si>
  <si>
    <t>CL LOCACAO E MANUTENCAO DE MOVEIS LTDA</t>
  </si>
  <si>
    <t>41.148.275/0001-54</t>
  </si>
  <si>
    <t>SERVICO DE LOCACAO DE MOBILIARIO</t>
  </si>
  <si>
    <t>GEISE MARACELY DE JESUS SANTOS</t>
  </si>
  <si>
    <t>076.888.245-16</t>
  </si>
  <si>
    <t>PUBLICIDADE LEGAL (DIVULGAÇÃO OFICIAL)</t>
  </si>
  <si>
    <t>AD &amp; T AMINISTRACAO DE DADOS E TECNOLOGIA LTDA EPP</t>
  </si>
  <si>
    <t>02.962.795/0001-44</t>
  </si>
  <si>
    <t>SERVICO DE MANUTENCAO EM EQUIPAMENTO ELETRICO E ELETRONICO</t>
  </si>
  <si>
    <t>15.137.680/0001-67</t>
  </si>
  <si>
    <t>EBISA ENGENHARIA BRASILEIRA INDUSTRIA E SANEAMENTO LTDA</t>
  </si>
  <si>
    <t>REVISAO DE INSTALACOES</t>
  </si>
  <si>
    <t>IPESAUDE</t>
  </si>
  <si>
    <t>IPES SAUDE INATIVOS - PESSOAL MILITAR</t>
  </si>
  <si>
    <t>IPES SAUDE - PENSIONISTAS - MILITAR</t>
  </si>
  <si>
    <t>MODULOS</t>
  </si>
  <si>
    <t>OI S.A. - EM RECUPERACAO JUDICIAL</t>
  </si>
  <si>
    <t>OUTROS SERVICOS DE TERCEIROS - PJ</t>
  </si>
  <si>
    <t>RESSARCIMENTO DE DESPESAS DE PESSOAL REQUISITADO</t>
  </si>
  <si>
    <t>TIAGO MOARAIS LIMA</t>
  </si>
  <si>
    <t>014.649.175-07</t>
  </si>
  <si>
    <t>GILDA JAQUELINE DE JESUS NOYA MENEZES</t>
  </si>
  <si>
    <t>590.792.825-53</t>
  </si>
  <si>
    <t>TD LICITACOES LTDA</t>
  </si>
  <si>
    <t>53.335.094/0001-16</t>
  </si>
  <si>
    <t>SERVICO DE INSTALACAO E MONTAGEM DE ESTRUTURAS PARA REALIZACAO DE EVENTOS</t>
  </si>
  <si>
    <t>SERGIPE PREVID.</t>
  </si>
  <si>
    <t>IDEIA DESIGN</t>
  </si>
  <si>
    <t>13.230.866/0001-30</t>
  </si>
  <si>
    <t>SERVICO DE CONFECCAO DE IMPRESSOS</t>
  </si>
  <si>
    <t>GILBERTO BARRETO OLIVEIRA</t>
  </si>
  <si>
    <t>591.184.587-34</t>
  </si>
  <si>
    <t>ROSA MARIA DA CONCEICAO SANTOS</t>
  </si>
  <si>
    <t>058.425.848-83</t>
  </si>
  <si>
    <t>INFOMC</t>
  </si>
  <si>
    <t>20.119.452/0001-02</t>
  </si>
  <si>
    <t>LICENCA PARA USO DE SOFTWARE</t>
  </si>
  <si>
    <t>JOAO MONTEIRO JUNIOR</t>
  </si>
  <si>
    <t>587.208.715-20</t>
  </si>
  <si>
    <t>COMPUSA SERVICOS E SOFTWARE</t>
  </si>
  <si>
    <t>02.374.391/0001-30</t>
  </si>
  <si>
    <t>SERVICO DE INSTALACAO DE EQUIPAMENTO DE INFORMATICA</t>
  </si>
  <si>
    <t>DAVID BRUNO LIBOREO SANTOS</t>
  </si>
  <si>
    <t>065.110.165-44</t>
  </si>
  <si>
    <t>VIVA SERGIPE VIAGENS E EMPREENDIMENTOS TURISTICOS LTDA</t>
  </si>
  <si>
    <t>45.959.611/0001-08</t>
  </si>
  <si>
    <t>ASSOCIACAO DOS PROCURADORES DO EST. DE SERGIPE</t>
  </si>
  <si>
    <t>13.361.019/0001-05</t>
  </si>
  <si>
    <t>SERVICO DE CAPACITACAO DE PESSOAL</t>
  </si>
  <si>
    <t>PRISCILA DOS SANTOS RIBERIO</t>
  </si>
  <si>
    <t>064.790.435-70</t>
  </si>
  <si>
    <t>PAULO VICTOR DAMASCENO DE OLIVEIRA</t>
  </si>
  <si>
    <t>060.648.085-43</t>
  </si>
  <si>
    <t>ALLEXIA BEATRIZ MELO DA SILVA</t>
  </si>
  <si>
    <t>037.718.295-85</t>
  </si>
  <si>
    <t>MARIA JOSE DOS SANTOS ANDRADE</t>
  </si>
  <si>
    <t>276.381.895-15</t>
  </si>
  <si>
    <t>INATIVO PESSOAL CIVIL</t>
  </si>
  <si>
    <t>ASSOCIACAO NACIONAL DE ENTIDADES DE PREVIDENCIA MUNICIPAL-ANEPREM</t>
  </si>
  <si>
    <t>02.869.624/0001-75</t>
  </si>
  <si>
    <t>SERVICO RELACIONADO A ASSOCIACOES, CONSELHOS, ORDENS E CORRELATOS</t>
  </si>
  <si>
    <t>S3 TECH COMERCIO E SERVICOS TECNOLOGICOS LTDA</t>
  </si>
  <si>
    <t>45.816.470/0001-66</t>
  </si>
  <si>
    <t>SERVICO DE IMPLANTACAO</t>
  </si>
  <si>
    <t>BRUNO ROLEMBERG BARRETO</t>
  </si>
  <si>
    <t>016.708.025-31</t>
  </si>
  <si>
    <t>JOSE VITOR GABRIEL SANTANA RODRIGUES</t>
  </si>
  <si>
    <t>065.085.675-94</t>
  </si>
  <si>
    <t xml:space="preserve">DIÁRIAS PESSOAL CIVIL FORA DO ESTADO/NO PAÍS	</t>
  </si>
  <si>
    <t>RPPS BRASIL - PUBLICACOES E EVENTOS LTDA</t>
  </si>
  <si>
    <t>SERVICO DE ASSINATURA DE JORNAIS E PERIODICOS</t>
  </si>
  <si>
    <t>FIO79</t>
  </si>
  <si>
    <t>33.645.853/0001-30</t>
  </si>
  <si>
    <t>SERVICO DE CONFECCAO DE VESTUARIO EM GERAL</t>
  </si>
  <si>
    <t>COMPUSA SERVICOS E SOFTWARE LTDA</t>
  </si>
  <si>
    <t>MARIA ROSA DE SANTANA</t>
  </si>
  <si>
    <t>355.965.035-68</t>
  </si>
  <si>
    <t>JOSELITA BESERRA DOS SANTOS</t>
  </si>
  <si>
    <t>201.095.475-00</t>
  </si>
  <si>
    <t>INDENIZAÇÃO DE DIÁRIAS CIVIL</t>
  </si>
  <si>
    <t>VICTOR ULYSSES VIEIRA ROCHA</t>
  </si>
  <si>
    <t>588.791.885-34</t>
  </si>
  <si>
    <t>LUCAS SILVA PEDROSA</t>
  </si>
  <si>
    <t>046.846.595-26</t>
  </si>
  <si>
    <t>SERGIO RICARDO S. BEZERRA</t>
  </si>
  <si>
    <t>962.496.845-49</t>
  </si>
  <si>
    <t>EDJANE HONORATO SANTOS</t>
  </si>
  <si>
    <t>588.112.905-97</t>
  </si>
  <si>
    <t>13.076.013/0001-96</t>
  </si>
  <si>
    <t>INSTITUTO EUVALDO LODI NUCLEO REGIONAL DE SERGIPE</t>
  </si>
  <si>
    <t>INSTITUTO DE CERTIFICACAO QUALIDADE BRASIL</t>
  </si>
  <si>
    <t>01.659.386/0001-00</t>
  </si>
  <si>
    <t>INDENIZACOES E RESTITUICOES TRAB. ATIVO CIVIL</t>
  </si>
  <si>
    <t>LATEIROS CURUPIRA</t>
  </si>
  <si>
    <t>19.782.886/0001-09</t>
  </si>
  <si>
    <t>ZILMA RICARDO BOMFIM</t>
  </si>
  <si>
    <t>712.983.475-72</t>
  </si>
  <si>
    <t>HERACLITO FONTES REZENDE ME</t>
  </si>
  <si>
    <t>EDLA KETLYN BRUNO ALVES</t>
  </si>
  <si>
    <t>060.641.015-55</t>
  </si>
  <si>
    <t>CRISTIANA PEREIRA CARDOSO</t>
  </si>
  <si>
    <t>912.171.305-78</t>
  </si>
  <si>
    <t>ELABORACAO DE PROJETO</t>
  </si>
  <si>
    <t>46.475.822/0001-20</t>
  </si>
  <si>
    <t>NEW MOVEIS CORPORATIVO LTDA</t>
  </si>
  <si>
    <t>ARMARIO, BALCAO, GAVETEIRO, MESA DE CANTO, MESA PARA ESTACAO DE TRABALHO, POLTRONA, CADEIRA FIXA, CADEIRA GIRATORIA</t>
  </si>
  <si>
    <t>CARMELITA CORREIA DE CARVALHO</t>
  </si>
  <si>
    <t>969.303.305-15</t>
  </si>
  <si>
    <t>ALBERTO DO MONTE ANDRADE   ME</t>
  </si>
  <si>
    <t>SERGIO LUIS DOS ANJOS CARDOSO</t>
  </si>
  <si>
    <t>074.974.505-30</t>
  </si>
  <si>
    <t>JL CONSTRUCOES LTDA   ME</t>
  </si>
  <si>
    <t>ANA CAMILA DOS REIS SANTOS</t>
  </si>
  <si>
    <t>OLIENA CONCEICAO DA SILVA</t>
  </si>
  <si>
    <t>035.679.365-65</t>
  </si>
  <si>
    <t>ALLTECH - SOLUCOES EM TECNOLOGIA LTDA</t>
  </si>
  <si>
    <t>21.547.011/0001-66</t>
  </si>
  <si>
    <t>EQUIPAMENTO DE PROTECAO DE REDE</t>
  </si>
  <si>
    <t>THAYLE DOS SANTOS OLIVEIRA</t>
  </si>
  <si>
    <t>076.838.695-03</t>
  </si>
  <si>
    <t>NP TECNOLOGIA E GESTAO DE DADOS LTDA</t>
  </si>
  <si>
    <t>07.797.967/0001-95</t>
  </si>
  <si>
    <t>SILVAR PEREIRA DOS ANJOS JUNIOR</t>
  </si>
  <si>
    <t>983.119.565-53</t>
  </si>
  <si>
    <t>GIVALDA CAMPOS DOS SANTOS</t>
  </si>
  <si>
    <t>693.875.325-34</t>
  </si>
  <si>
    <t>CRISTIANA DOS ANJOS</t>
  </si>
  <si>
    <t>661.735.745-00</t>
  </si>
  <si>
    <t>GENIVALDO DOS SANTOS</t>
  </si>
  <si>
    <t>126.731.295-53</t>
  </si>
  <si>
    <t>GEOVAN DOS ANJOS DE JESUS</t>
  </si>
  <si>
    <t>626.311.365-00</t>
  </si>
  <si>
    <t>GIVALDO DOS ANJOS</t>
  </si>
  <si>
    <t>913.751.005-30</t>
  </si>
  <si>
    <t>JOSELITO DOS ANJOS</t>
  </si>
  <si>
    <t>JOSEMIR DOS ANJOS</t>
  </si>
  <si>
    <t>JOSE PEDRO DOS ANJOS</t>
  </si>
  <si>
    <t>MARIA ALICE DOS ANJOS</t>
  </si>
  <si>
    <t>MARIA JOSE DOS ANJOS</t>
  </si>
  <si>
    <t>MARCIO DOS ANJOS</t>
  </si>
  <si>
    <t>MARIA DE FATIMA DOS ANJOS</t>
  </si>
  <si>
    <t>MARCOS DOS ANJOS</t>
  </si>
  <si>
    <t>GUILHERME LOBO BRAYNER</t>
  </si>
  <si>
    <t>019.572.745-22</t>
  </si>
  <si>
    <t>809.206.325-72</t>
  </si>
  <si>
    <t>273.518.745-49</t>
  </si>
  <si>
    <t>037.261.315-23</t>
  </si>
  <si>
    <t>654.724.465-20</t>
  </si>
  <si>
    <t>822.026.645-72</t>
  </si>
  <si>
    <t>877.536.005-59</t>
  </si>
  <si>
    <t>000.498.375-08</t>
  </si>
  <si>
    <t>103.286.345-57</t>
  </si>
  <si>
    <t>VICTOR GUSTAVO SANTANA SILVA</t>
  </si>
  <si>
    <t>IMQPA INSTITUTO MINEIRO QUALFICACAO PROFISSIONAL E ASSESSORIA LTDA EPP</t>
  </si>
  <si>
    <t>089.657.755-40</t>
  </si>
  <si>
    <t>07.531.234/0001-04</t>
  </si>
  <si>
    <t>CICERA DOS SANTOS CRUZ</t>
  </si>
  <si>
    <t>590.730.395-68</t>
  </si>
  <si>
    <t>COMERCIAL IDAL DE ALIMENTOS LTDA</t>
  </si>
  <si>
    <t>ALEXANDRE OLIVEIRA LIMA</t>
  </si>
  <si>
    <t>32.353.943/0001-94</t>
  </si>
  <si>
    <t>00.963.159/0001-01</t>
  </si>
  <si>
    <t>AGUA MINERAL</t>
  </si>
  <si>
    <t>SCANNER DE MESA</t>
  </si>
  <si>
    <t>SAMAM LOCADORA LTDA EM RECUPERACAO JUDICIAL</t>
  </si>
  <si>
    <t>A S NASCIMENTO I SAP COMERCIO E SERVICOS EM GERAL</t>
  </si>
  <si>
    <t>51.375.586/0001-00</t>
  </si>
  <si>
    <t>002.184.315-54</t>
  </si>
  <si>
    <t>13.292.261/0001-74</t>
  </si>
  <si>
    <t>SHIRLEY MARIA GONCALVES REIS</t>
  </si>
  <si>
    <t>VIANNA DE CARVALHO CURSOS E AULAS LTDA</t>
  </si>
  <si>
    <t>CAFÉ</t>
  </si>
  <si>
    <t>ACS EMPREENDIMENTOS LTDA</t>
  </si>
  <si>
    <t>ESTRELA ATACADO LTDA</t>
  </si>
  <si>
    <t>MF DISTRIBUIDORA LTDA</t>
  </si>
  <si>
    <t>51.600.250/0001-01</t>
  </si>
  <si>
    <t>46.955.924/0001-42</t>
  </si>
  <si>
    <t>33.435.426/0001-27</t>
  </si>
  <si>
    <t>CANETA ESFEROGRAFICA</t>
  </si>
  <si>
    <t>COPO DESCARTAVEL</t>
  </si>
  <si>
    <t>PAPEL - RESMA COM 500 FOLHAS</t>
  </si>
  <si>
    <t>MONSARAS DISTRIBUIDORA E COMERCIO LTDA-ME</t>
  </si>
  <si>
    <t>ASSOC NACIONAL DE CENTROS DE POS GRADUACAO EM ECONOMIA</t>
  </si>
  <si>
    <t>23.417.238/0001-12</t>
  </si>
  <si>
    <t>18.234.906/0001-36</t>
  </si>
  <si>
    <t>CARLOS HENRIQUE MORAES DA SILVA</t>
  </si>
  <si>
    <t xml:space="preserve">JOSE ROBERTO DE LIMA ANDRADE	</t>
  </si>
  <si>
    <t>CARLOS FELIPE SANTOS DE JESUS</t>
  </si>
  <si>
    <t>064.663.155-17</t>
  </si>
  <si>
    <t>073.594.375-39</t>
  </si>
  <si>
    <t>SERVIÇOS TÉCNICOS PROFISSIONAIS DE TIC</t>
  </si>
  <si>
    <t>SERVICO DE DISTRIBUICAO DE GAS</t>
  </si>
  <si>
    <t>ROSA ELZE GAS LTDA</t>
  </si>
  <si>
    <t>52.451.178/0001-52</t>
  </si>
  <si>
    <t>NINA PRODUCOES E EVENTOS LTDA</t>
  </si>
  <si>
    <t>50.009.169/0001-80</t>
  </si>
  <si>
    <t>LMS EDUCACAO LTDA</t>
  </si>
  <si>
    <t>28.934.790/0001-00</t>
  </si>
  <si>
    <t>EDIROALDO VIEIRA DE MENEZES</t>
  </si>
  <si>
    <t>575.081.785-72</t>
  </si>
  <si>
    <t>MICROCOMPUTADOR</t>
  </si>
  <si>
    <t>LIDER NOTEBOOOKS COMERCIO E SERVICOS LTDA</t>
  </si>
  <si>
    <t>12.477.490/0002-81</t>
  </si>
  <si>
    <t>ALBERTO CORREIA SOBRAL</t>
  </si>
  <si>
    <t>265.172.485-87</t>
  </si>
  <si>
    <t>FÉRIAS RECEBIDAS E NÃO GOZADAS RGPS</t>
  </si>
  <si>
    <t xml:space="preserve">UNIR LOCACOES E SERVICOS LTDA	</t>
  </si>
  <si>
    <t>15.454.009/0001-40</t>
  </si>
  <si>
    <t>ZENOBIA TORRES DOS SANTOS</t>
  </si>
  <si>
    <t xml:space="preserve">BASEMAT TORRES DOS SANTOS	</t>
  </si>
  <si>
    <t>MILTON DOS SANTOS FILHO</t>
  </si>
  <si>
    <t>W.M.W.COMERCIAL</t>
  </si>
  <si>
    <t xml:space="preserve">252.438.455-15	</t>
  </si>
  <si>
    <t>654.746.785-68</t>
  </si>
  <si>
    <t>256.098.745-72</t>
  </si>
  <si>
    <t>32.875.635/0001-29</t>
  </si>
  <si>
    <t>CANETA; APAGADOR; MARCADOR; CORRETIVO; TINTA; BORRACHA; GRAMPEADOR; COLA; TESOURA; PASTA; REGUA; PORTA TRECO; CADERNO.</t>
  </si>
  <si>
    <t>PILHA</t>
  </si>
  <si>
    <t>RECIPIENTES PARA LIXOS</t>
  </si>
  <si>
    <t>COLA DE SILICONE</t>
  </si>
  <si>
    <t>FITA ADESIVA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</si>
</sst>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1" xfId="0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 wrapText="1"/>
    </xf>
    <xf numFmtId="44" fontId="0" fillId="0" borderId="1" xfId="1" applyFont="1" applyBorder="1" applyAlignment="1">
      <alignment vertic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justify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4" fontId="0" fillId="0" borderId="1" xfId="0" applyNumberFormat="1" applyBorder="1" applyAlignment="1">
      <alignment horizontal="center" vertical="center" wrapText="1"/>
    </xf>
    <xf numFmtId="44" fontId="0" fillId="0" borderId="1" xfId="1" applyFont="1" applyBorder="1" applyAlignment="1">
      <alignment vertical="center" wrapText="1"/>
    </xf>
    <xf numFmtId="44" fontId="0" fillId="0" borderId="1" xfId="1" applyFont="1" applyBorder="1"/>
    <xf numFmtId="0" fontId="0" fillId="0" borderId="0" xfId="0" applyBorder="1" applyAlignment="1">
      <alignment horizontal="left" vertical="center" wrapText="1"/>
    </xf>
    <xf numFmtId="0" fontId="0" fillId="0" borderId="0" xfId="0" applyBorder="1"/>
    <xf numFmtId="44" fontId="0" fillId="0" borderId="0" xfId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/>
    <xf numFmtId="44" fontId="0" fillId="0" borderId="4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44" fontId="0" fillId="0" borderId="1" xfId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4" fontId="0" fillId="0" borderId="0" xfId="1" applyFont="1" applyBorder="1" applyAlignment="1">
      <alignment vertical="center"/>
    </xf>
    <xf numFmtId="44" fontId="0" fillId="0" borderId="0" xfId="1" applyFont="1" applyBorder="1" applyAlignment="1">
      <alignment vertical="center" wrapText="1"/>
    </xf>
    <xf numFmtId="44" fontId="0" fillId="0" borderId="0" xfId="1" applyFont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4" fontId="0" fillId="0" borderId="0" xfId="0" applyNumberFormat="1"/>
    <xf numFmtId="4" fontId="0" fillId="0" borderId="0" xfId="0" applyNumberFormat="1" applyAlignment="1">
      <alignment vertical="center" wrapText="1"/>
    </xf>
    <xf numFmtId="44" fontId="0" fillId="0" borderId="5" xfId="1" applyFont="1" applyBorder="1" applyAlignment="1">
      <alignment horizontal="center" vertical="center"/>
    </xf>
    <xf numFmtId="44" fontId="0" fillId="0" borderId="0" xfId="1" applyFont="1"/>
    <xf numFmtId="0" fontId="0" fillId="0" borderId="0" xfId="0" applyBorder="1" applyAlignment="1">
      <alignment horizontal="left" vertical="center"/>
    </xf>
    <xf numFmtId="4" fontId="0" fillId="0" borderId="1" xfId="0" applyNumberFormat="1" applyBorder="1"/>
    <xf numFmtId="0" fontId="0" fillId="0" borderId="0" xfId="0" applyBorder="1" applyAlignment="1">
      <alignment horizontal="justify" vertical="center" wrapText="1"/>
    </xf>
    <xf numFmtId="4" fontId="0" fillId="0" borderId="1" xfId="0" applyNumberFormat="1" applyBorder="1" applyAlignment="1">
      <alignment horizontal="justify" vertical="center" wrapText="1"/>
    </xf>
    <xf numFmtId="0" fontId="0" fillId="0" borderId="4" xfId="0" applyBorder="1" applyAlignment="1">
      <alignment horizontal="left" vertical="center" wrapText="1"/>
    </xf>
    <xf numFmtId="4" fontId="0" fillId="0" borderId="1" xfId="0" applyNumberFormat="1" applyBorder="1" applyAlignment="1">
      <alignment horizontal="center" vertical="center"/>
    </xf>
    <xf numFmtId="0" fontId="0" fillId="0" borderId="6" xfId="0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left" vertical="center" wrapText="1"/>
    </xf>
    <xf numFmtId="44" fontId="0" fillId="0" borderId="0" xfId="1" applyFont="1" applyAlignment="1">
      <alignment vertical="center"/>
    </xf>
    <xf numFmtId="44" fontId="0" fillId="0" borderId="1" xfId="1" quotePrefix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/>
    <xf numFmtId="4" fontId="0" fillId="0" borderId="1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44" fontId="0" fillId="0" borderId="4" xfId="1" applyFont="1" applyBorder="1" applyAlignment="1">
      <alignment vertical="center"/>
    </xf>
    <xf numFmtId="0" fontId="0" fillId="5" borderId="0" xfId="0" applyFill="1"/>
    <xf numFmtId="0" fontId="5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44" fontId="0" fillId="0" borderId="1" xfId="1" applyFont="1" applyBorder="1" applyAlignment="1">
      <alignment horizontal="left" vertical="center" wrapText="1"/>
    </xf>
    <xf numFmtId="4" fontId="0" fillId="0" borderId="0" xfId="0" applyNumberFormat="1" applyBorder="1" applyAlignment="1">
      <alignment vertical="center" wrapText="1"/>
    </xf>
    <xf numFmtId="44" fontId="0" fillId="0" borderId="0" xfId="0" applyNumberFormat="1"/>
    <xf numFmtId="0" fontId="0" fillId="5" borderId="1" xfId="0" applyFont="1" applyFill="1" applyBorder="1" applyAlignment="1">
      <alignment horizontal="center" vertical="center"/>
    </xf>
    <xf numFmtId="0" fontId="0" fillId="5" borderId="1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34843</xdr:colOff>
      <xdr:row>0</xdr:row>
      <xdr:rowOff>11616</xdr:rowOff>
    </xdr:from>
    <xdr:to>
      <xdr:col>0</xdr:col>
      <xdr:colOff>1170352</xdr:colOff>
      <xdr:row>5</xdr:row>
      <xdr:rowOff>38647</xdr:rowOff>
    </xdr:to>
    <xdr:pic>
      <xdr:nvPicPr>
        <xdr:cNvPr id="3" name="Imagem 2" descr="SERGIPE_PREVIDENCIA_editado preto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843" y="11616"/>
          <a:ext cx="1134453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AN1334"/>
  <sheetViews>
    <sheetView showGridLines="0" tabSelected="1" zoomScaleNormal="100" zoomScalePageLayoutView="7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A12" sqref="A12"/>
    </sheetView>
  </sheetViews>
  <sheetFormatPr defaultRowHeight="15" x14ac:dyDescent="0.25"/>
  <cols>
    <col min="1" max="1" width="20.7109375" customWidth="1"/>
    <col min="2" max="2" width="20.7109375" style="12" customWidth="1"/>
    <col min="3" max="3" width="67.5703125" style="8" customWidth="1"/>
    <col min="4" max="4" width="42.140625" style="7" customWidth="1"/>
    <col min="5" max="5" width="26.5703125" style="23" customWidth="1"/>
    <col min="6" max="6" width="20.42578125" style="23" customWidth="1"/>
    <col min="7" max="7" width="18.140625" style="23" customWidth="1"/>
    <col min="8" max="8" width="19.5703125" customWidth="1"/>
    <col min="9" max="40" width="20.7109375" customWidth="1"/>
  </cols>
  <sheetData>
    <row r="1" spans="1:40" ht="18" customHeight="1" x14ac:dyDescent="0.25"/>
    <row r="2" spans="1:40" ht="18" customHeight="1" x14ac:dyDescent="0.25">
      <c r="C2" s="72" t="s">
        <v>38</v>
      </c>
      <c r="D2" s="73"/>
    </row>
    <row r="3" spans="1:40" ht="17.25" customHeight="1" x14ac:dyDescent="0.25">
      <c r="A3" s="60"/>
      <c r="C3" s="72"/>
      <c r="D3" s="73"/>
    </row>
    <row r="4" spans="1:40" ht="18" customHeight="1" x14ac:dyDescent="0.25">
      <c r="A4" s="60"/>
      <c r="C4" s="72"/>
      <c r="D4" s="73"/>
    </row>
    <row r="5" spans="1:40" ht="12.75" customHeight="1" x14ac:dyDescent="0.25">
      <c r="A5" s="60"/>
      <c r="C5" s="72"/>
      <c r="D5" s="73"/>
    </row>
    <row r="6" spans="1:40" ht="19.5" customHeight="1" x14ac:dyDescent="0.25">
      <c r="A6" s="60"/>
      <c r="I6" s="68" t="s">
        <v>24</v>
      </c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9" t="s">
        <v>25</v>
      </c>
      <c r="V6" s="70"/>
      <c r="W6" s="70"/>
      <c r="X6" s="70"/>
      <c r="Y6" s="70"/>
      <c r="Z6" s="70"/>
      <c r="AA6" s="70"/>
      <c r="AB6" s="70"/>
      <c r="AC6" s="70"/>
      <c r="AD6" s="70"/>
      <c r="AE6" s="70"/>
      <c r="AF6" s="71"/>
    </row>
    <row r="7" spans="1:40" s="5" customFormat="1" ht="33.75" customHeight="1" x14ac:dyDescent="0.25">
      <c r="A7" s="50" t="s">
        <v>34</v>
      </c>
      <c r="B7" s="50" t="s">
        <v>0</v>
      </c>
      <c r="C7" s="50" t="s">
        <v>1</v>
      </c>
      <c r="D7" s="50" t="s">
        <v>2</v>
      </c>
      <c r="E7" s="50" t="s">
        <v>33</v>
      </c>
      <c r="F7" s="50" t="s">
        <v>27</v>
      </c>
      <c r="G7" s="50" t="s">
        <v>35</v>
      </c>
      <c r="H7" s="50" t="s">
        <v>3</v>
      </c>
      <c r="I7" s="50" t="s">
        <v>4</v>
      </c>
      <c r="J7" s="50" t="s">
        <v>5</v>
      </c>
      <c r="K7" s="50" t="s">
        <v>6</v>
      </c>
      <c r="L7" s="50" t="s">
        <v>7</v>
      </c>
      <c r="M7" s="50" t="s">
        <v>8</v>
      </c>
      <c r="N7" s="50" t="s">
        <v>9</v>
      </c>
      <c r="O7" s="50" t="s">
        <v>10</v>
      </c>
      <c r="P7" s="50" t="s">
        <v>11</v>
      </c>
      <c r="Q7" s="50" t="s">
        <v>12</v>
      </c>
      <c r="R7" s="50" t="s">
        <v>13</v>
      </c>
      <c r="S7" s="50" t="s">
        <v>14</v>
      </c>
      <c r="T7" s="50" t="s">
        <v>15</v>
      </c>
      <c r="U7" s="50" t="s">
        <v>4</v>
      </c>
      <c r="V7" s="50" t="s">
        <v>5</v>
      </c>
      <c r="W7" s="50" t="s">
        <v>6</v>
      </c>
      <c r="X7" s="50" t="s">
        <v>7</v>
      </c>
      <c r="Y7" s="50" t="s">
        <v>8</v>
      </c>
      <c r="Z7" s="50" t="s">
        <v>9</v>
      </c>
      <c r="AA7" s="50" t="s">
        <v>10</v>
      </c>
      <c r="AB7" s="50" t="s">
        <v>11</v>
      </c>
      <c r="AC7" s="50" t="s">
        <v>12</v>
      </c>
      <c r="AD7" s="50" t="s">
        <v>13</v>
      </c>
      <c r="AE7" s="50" t="s">
        <v>14</v>
      </c>
      <c r="AF7" s="50" t="s">
        <v>15</v>
      </c>
      <c r="AG7" s="50" t="s">
        <v>16</v>
      </c>
      <c r="AH7" s="50" t="s">
        <v>17</v>
      </c>
      <c r="AI7" s="50" t="s">
        <v>18</v>
      </c>
      <c r="AJ7" s="50" t="s">
        <v>19</v>
      </c>
      <c r="AK7" s="50" t="s">
        <v>20</v>
      </c>
      <c r="AL7" s="50" t="s">
        <v>21</v>
      </c>
      <c r="AM7" s="50" t="s">
        <v>22</v>
      </c>
      <c r="AN7" s="50" t="s">
        <v>23</v>
      </c>
    </row>
    <row r="8" spans="1:40" s="10" customFormat="1" ht="30.75" customHeight="1" x14ac:dyDescent="0.25">
      <c r="A8" s="55">
        <v>1</v>
      </c>
      <c r="B8" s="11" t="s">
        <v>26</v>
      </c>
      <c r="C8" s="9" t="s">
        <v>39</v>
      </c>
      <c r="D8" s="6" t="s">
        <v>40</v>
      </c>
      <c r="E8" s="1" t="s">
        <v>41</v>
      </c>
      <c r="F8" s="1" t="s">
        <v>66</v>
      </c>
      <c r="G8" s="1"/>
      <c r="H8" s="2">
        <v>76558.3</v>
      </c>
      <c r="I8" s="2">
        <v>76558.3</v>
      </c>
      <c r="J8" s="4"/>
      <c r="K8" s="2"/>
      <c r="L8" s="2"/>
      <c r="M8" s="2"/>
      <c r="N8" s="42"/>
      <c r="O8" s="2"/>
      <c r="P8" s="19"/>
      <c r="Q8" s="2"/>
      <c r="R8" s="2"/>
      <c r="S8" s="3"/>
      <c r="T8" s="2"/>
      <c r="U8" s="2">
        <v>76558.3</v>
      </c>
      <c r="V8" s="4"/>
      <c r="W8" s="2"/>
      <c r="X8" s="2"/>
      <c r="Y8" s="2"/>
      <c r="Z8" s="42"/>
      <c r="AA8" s="2"/>
      <c r="AB8" s="19"/>
      <c r="AC8" s="2"/>
      <c r="AD8" s="2"/>
      <c r="AE8" s="3"/>
      <c r="AF8" s="2"/>
      <c r="AG8" s="4"/>
      <c r="AH8" s="2"/>
      <c r="AI8" s="2">
        <f>H8-AG8+AH8</f>
        <v>76558.3</v>
      </c>
      <c r="AJ8" s="2">
        <f>SUM(I8:T8)</f>
        <v>76558.3</v>
      </c>
      <c r="AK8" s="2">
        <f>SUM(U8:AF8)</f>
        <v>76558.3</v>
      </c>
      <c r="AL8" s="2">
        <f>SUM(AJ8-AK8)+(AI8-AJ8)</f>
        <v>0</v>
      </c>
      <c r="AM8" s="2">
        <f>SUM(AJ8-AK8)</f>
        <v>0</v>
      </c>
      <c r="AN8" s="2">
        <f>SUM(AI8-AJ8)</f>
        <v>0</v>
      </c>
    </row>
    <row r="9" spans="1:40" ht="30.75" customHeight="1" x14ac:dyDescent="0.25">
      <c r="A9" s="55">
        <v>2</v>
      </c>
      <c r="B9" s="11" t="s">
        <v>26</v>
      </c>
      <c r="C9" s="9" t="s">
        <v>42</v>
      </c>
      <c r="D9" s="6" t="s">
        <v>43</v>
      </c>
      <c r="E9" s="1" t="s">
        <v>44</v>
      </c>
      <c r="F9" s="1" t="s">
        <v>66</v>
      </c>
      <c r="G9" s="1"/>
      <c r="H9" s="2">
        <v>5154.0200000000004</v>
      </c>
      <c r="I9" s="2"/>
      <c r="J9" s="4">
        <v>5154.0200000000004</v>
      </c>
      <c r="K9" s="2"/>
      <c r="L9" s="2"/>
      <c r="M9" s="2"/>
      <c r="N9" s="2"/>
      <c r="O9" s="42"/>
      <c r="P9" s="2"/>
      <c r="Q9" s="2"/>
      <c r="R9" s="2"/>
      <c r="S9" s="2"/>
      <c r="T9" s="2"/>
      <c r="U9" s="2"/>
      <c r="V9" s="4">
        <v>5154.0200000000004</v>
      </c>
      <c r="W9" s="2"/>
      <c r="X9" s="2"/>
      <c r="Y9" s="2"/>
      <c r="Z9" s="2"/>
      <c r="AA9" s="42"/>
      <c r="AB9" s="2"/>
      <c r="AC9" s="2"/>
      <c r="AD9" s="2"/>
      <c r="AE9" s="2"/>
      <c r="AF9" s="2"/>
      <c r="AG9" s="19"/>
      <c r="AH9" s="2"/>
      <c r="AI9" s="2">
        <f t="shared" ref="AI9:AI72" si="0">H9-AG9+AH9</f>
        <v>5154.0200000000004</v>
      </c>
      <c r="AJ9" s="2">
        <f t="shared" ref="AJ9:AJ72" si="1">SUM(I9:T9)</f>
        <v>5154.0200000000004</v>
      </c>
      <c r="AK9" s="2">
        <f t="shared" ref="AK9:AK72" si="2">SUM(U9:AF9)</f>
        <v>5154.0200000000004</v>
      </c>
      <c r="AL9" s="2">
        <f t="shared" ref="AL9:AL72" si="3">SUM(AJ9-AK9)+(AI9-AJ9)</f>
        <v>0</v>
      </c>
      <c r="AM9" s="2">
        <f t="shared" ref="AM9:AM72" si="4">SUM(AJ9-AK9)</f>
        <v>0</v>
      </c>
      <c r="AN9" s="2">
        <f t="shared" ref="AN9:AN72" si="5">SUM(AI9-AJ9)</f>
        <v>0</v>
      </c>
    </row>
    <row r="10" spans="1:40" ht="30.75" customHeight="1" x14ac:dyDescent="0.25">
      <c r="A10" s="55">
        <v>3</v>
      </c>
      <c r="B10" s="11" t="s">
        <v>26</v>
      </c>
      <c r="C10" s="9" t="s">
        <v>42</v>
      </c>
      <c r="D10" s="6" t="s">
        <v>45</v>
      </c>
      <c r="E10" s="1" t="s">
        <v>46</v>
      </c>
      <c r="F10" s="1" t="s">
        <v>66</v>
      </c>
      <c r="G10" s="1"/>
      <c r="H10" s="2">
        <v>3992</v>
      </c>
      <c r="I10" s="2"/>
      <c r="J10" s="4">
        <v>3992</v>
      </c>
      <c r="K10" s="2"/>
      <c r="L10" s="2"/>
      <c r="M10" s="2"/>
      <c r="N10" s="2"/>
      <c r="O10" s="2"/>
      <c r="P10" s="22"/>
      <c r="Q10" s="2"/>
      <c r="R10" s="2"/>
      <c r="S10" s="3"/>
      <c r="T10" s="2"/>
      <c r="U10" s="2"/>
      <c r="V10" s="4">
        <v>3992</v>
      </c>
      <c r="W10" s="2"/>
      <c r="X10" s="2"/>
      <c r="Y10" s="2"/>
      <c r="Z10" s="2"/>
      <c r="AA10" s="2"/>
      <c r="AB10" s="22"/>
      <c r="AC10" s="2"/>
      <c r="AD10" s="2"/>
      <c r="AE10" s="3"/>
      <c r="AF10" s="2"/>
      <c r="AG10" s="19"/>
      <c r="AH10" s="2"/>
      <c r="AI10" s="2">
        <f t="shared" si="0"/>
        <v>3992</v>
      </c>
      <c r="AJ10" s="2">
        <f t="shared" si="1"/>
        <v>3992</v>
      </c>
      <c r="AK10" s="2">
        <f t="shared" si="2"/>
        <v>3992</v>
      </c>
      <c r="AL10" s="2">
        <f t="shared" si="3"/>
        <v>0</v>
      </c>
      <c r="AM10" s="2">
        <f t="shared" si="4"/>
        <v>0</v>
      </c>
      <c r="AN10" s="2">
        <f t="shared" si="5"/>
        <v>0</v>
      </c>
    </row>
    <row r="11" spans="1:40" ht="31.5" customHeight="1" x14ac:dyDescent="0.25">
      <c r="A11" s="55">
        <v>4</v>
      </c>
      <c r="B11" s="11" t="s">
        <v>26</v>
      </c>
      <c r="C11" s="13" t="s">
        <v>42</v>
      </c>
      <c r="D11" s="6" t="s">
        <v>47</v>
      </c>
      <c r="E11" s="1" t="s">
        <v>48</v>
      </c>
      <c r="F11" s="1" t="s">
        <v>66</v>
      </c>
      <c r="G11" s="1"/>
      <c r="H11" s="2">
        <v>1330.67</v>
      </c>
      <c r="I11" s="2"/>
      <c r="J11" s="4">
        <v>1330.67</v>
      </c>
      <c r="K11" s="18"/>
      <c r="L11" s="36"/>
      <c r="M11" s="18"/>
      <c r="N11" s="2"/>
      <c r="O11" s="2"/>
      <c r="P11" s="2"/>
      <c r="Q11" s="2"/>
      <c r="R11" s="2"/>
      <c r="S11" s="3"/>
      <c r="T11" s="2"/>
      <c r="U11" s="2"/>
      <c r="V11" s="4">
        <v>1330.67</v>
      </c>
      <c r="W11" s="18"/>
      <c r="X11" s="36"/>
      <c r="Y11" s="18"/>
      <c r="Z11" s="2"/>
      <c r="AA11" s="2"/>
      <c r="AB11" s="2"/>
      <c r="AC11" s="2"/>
      <c r="AD11" s="2"/>
      <c r="AE11" s="3"/>
      <c r="AF11" s="2"/>
      <c r="AG11" s="19"/>
      <c r="AH11" s="2"/>
      <c r="AI11" s="2">
        <f t="shared" si="0"/>
        <v>1330.67</v>
      </c>
      <c r="AJ11" s="2">
        <f t="shared" si="1"/>
        <v>1330.67</v>
      </c>
      <c r="AK11" s="2">
        <f t="shared" si="2"/>
        <v>1330.67</v>
      </c>
      <c r="AL11" s="2">
        <f t="shared" si="3"/>
        <v>0</v>
      </c>
      <c r="AM11" s="2">
        <f t="shared" si="4"/>
        <v>0</v>
      </c>
      <c r="AN11" s="2">
        <f t="shared" si="5"/>
        <v>0</v>
      </c>
    </row>
    <row r="12" spans="1:40" ht="31.5" customHeight="1" x14ac:dyDescent="0.25">
      <c r="A12" s="55">
        <v>5</v>
      </c>
      <c r="B12" s="11" t="s">
        <v>26</v>
      </c>
      <c r="C12" s="9" t="s">
        <v>51</v>
      </c>
      <c r="D12" s="6" t="s">
        <v>49</v>
      </c>
      <c r="E12" s="1" t="s">
        <v>50</v>
      </c>
      <c r="F12" s="1" t="s">
        <v>66</v>
      </c>
      <c r="G12" s="1"/>
      <c r="H12" s="2">
        <v>2407.21</v>
      </c>
      <c r="I12" s="2"/>
      <c r="J12" s="4"/>
      <c r="K12" s="2"/>
      <c r="L12" s="2"/>
      <c r="M12" s="2"/>
      <c r="N12" s="2"/>
      <c r="O12" s="2"/>
      <c r="P12" s="2"/>
      <c r="Q12" s="2"/>
      <c r="R12" s="2"/>
      <c r="S12" s="3"/>
      <c r="T12" s="3"/>
      <c r="U12" s="2"/>
      <c r="V12" s="4"/>
      <c r="W12" s="4"/>
      <c r="X12" s="2"/>
      <c r="Y12" s="2"/>
      <c r="Z12" s="2"/>
      <c r="AA12" s="2"/>
      <c r="AB12" s="2"/>
      <c r="AC12" s="2"/>
      <c r="AD12" s="4"/>
      <c r="AE12" s="4"/>
      <c r="AF12" s="42"/>
      <c r="AG12" s="4">
        <v>2407.21</v>
      </c>
      <c r="AH12" s="2"/>
      <c r="AI12" s="2">
        <f t="shared" si="0"/>
        <v>0</v>
      </c>
      <c r="AJ12" s="2">
        <f t="shared" si="1"/>
        <v>0</v>
      </c>
      <c r="AK12" s="2">
        <f t="shared" si="2"/>
        <v>0</v>
      </c>
      <c r="AL12" s="2">
        <f t="shared" si="3"/>
        <v>0</v>
      </c>
      <c r="AM12" s="2">
        <f t="shared" si="4"/>
        <v>0</v>
      </c>
      <c r="AN12" s="2">
        <f t="shared" si="5"/>
        <v>0</v>
      </c>
    </row>
    <row r="13" spans="1:40" ht="31.5" customHeight="1" x14ac:dyDescent="0.25">
      <c r="A13" s="55">
        <v>6</v>
      </c>
      <c r="B13" s="11" t="s">
        <v>26</v>
      </c>
      <c r="C13" s="13" t="s">
        <v>51</v>
      </c>
      <c r="D13" s="6" t="s">
        <v>52</v>
      </c>
      <c r="E13" s="1" t="s">
        <v>53</v>
      </c>
      <c r="F13" s="1" t="s">
        <v>67</v>
      </c>
      <c r="G13" s="1"/>
      <c r="H13" s="2">
        <v>2923.94</v>
      </c>
      <c r="I13" s="2"/>
      <c r="J13" s="4"/>
      <c r="K13" s="18"/>
      <c r="L13" s="36"/>
      <c r="M13" s="2"/>
      <c r="N13" s="2"/>
      <c r="O13" s="18"/>
      <c r="P13" s="2"/>
      <c r="Q13" s="2"/>
      <c r="R13" s="2"/>
      <c r="S13" s="3"/>
      <c r="T13" s="2"/>
      <c r="U13" s="2"/>
      <c r="V13" s="4"/>
      <c r="W13" s="18"/>
      <c r="X13" s="36"/>
      <c r="Y13" s="2"/>
      <c r="Z13" s="2"/>
      <c r="AA13" s="18"/>
      <c r="AB13" s="2"/>
      <c r="AC13" s="2"/>
      <c r="AD13" s="2"/>
      <c r="AE13" s="3"/>
      <c r="AF13" s="2"/>
      <c r="AG13" s="4">
        <v>2923.94</v>
      </c>
      <c r="AH13" s="2"/>
      <c r="AI13" s="2">
        <f t="shared" si="0"/>
        <v>0</v>
      </c>
      <c r="AJ13" s="2">
        <f t="shared" si="1"/>
        <v>0</v>
      </c>
      <c r="AK13" s="2">
        <f t="shared" si="2"/>
        <v>0</v>
      </c>
      <c r="AL13" s="2">
        <f t="shared" si="3"/>
        <v>0</v>
      </c>
      <c r="AM13" s="2">
        <f t="shared" si="4"/>
        <v>0</v>
      </c>
      <c r="AN13" s="2">
        <f t="shared" si="5"/>
        <v>0</v>
      </c>
    </row>
    <row r="14" spans="1:40" ht="31.5" customHeight="1" x14ac:dyDescent="0.25">
      <c r="A14" s="55">
        <v>7</v>
      </c>
      <c r="B14" s="11" t="s">
        <v>26</v>
      </c>
      <c r="C14" s="9" t="s">
        <v>42</v>
      </c>
      <c r="D14" s="6" t="s">
        <v>54</v>
      </c>
      <c r="E14" s="1" t="s">
        <v>55</v>
      </c>
      <c r="F14" s="1" t="s">
        <v>66</v>
      </c>
      <c r="G14" s="1"/>
      <c r="H14" s="2">
        <v>1925.48</v>
      </c>
      <c r="I14" s="2"/>
      <c r="J14" s="4"/>
      <c r="K14" s="2"/>
      <c r="L14" s="2"/>
      <c r="M14" s="2"/>
      <c r="N14" s="2"/>
      <c r="O14" s="2"/>
      <c r="P14" s="2"/>
      <c r="Q14" s="2"/>
      <c r="R14" s="2"/>
      <c r="S14" s="3"/>
      <c r="T14" s="2"/>
      <c r="U14" s="2"/>
      <c r="V14" s="4"/>
      <c r="W14" s="2"/>
      <c r="X14" s="2"/>
      <c r="Y14" s="2"/>
      <c r="Z14" s="2"/>
      <c r="AA14" s="2"/>
      <c r="AB14" s="2"/>
      <c r="AC14" s="2"/>
      <c r="AD14" s="2"/>
      <c r="AE14" s="3"/>
      <c r="AF14" s="2"/>
      <c r="AG14" s="4"/>
      <c r="AH14" s="2"/>
      <c r="AI14" s="2">
        <f t="shared" si="0"/>
        <v>1925.48</v>
      </c>
      <c r="AJ14" s="2">
        <f t="shared" si="1"/>
        <v>0</v>
      </c>
      <c r="AK14" s="2">
        <f t="shared" si="2"/>
        <v>0</v>
      </c>
      <c r="AL14" s="2">
        <f t="shared" si="3"/>
        <v>1925.48</v>
      </c>
      <c r="AM14" s="2">
        <f t="shared" si="4"/>
        <v>0</v>
      </c>
      <c r="AN14" s="2">
        <f t="shared" si="5"/>
        <v>1925.48</v>
      </c>
    </row>
    <row r="15" spans="1:40" ht="31.5" customHeight="1" x14ac:dyDescent="0.25">
      <c r="A15" s="55">
        <v>8</v>
      </c>
      <c r="B15" s="11" t="s">
        <v>56</v>
      </c>
      <c r="C15" s="9" t="s">
        <v>59</v>
      </c>
      <c r="D15" s="14" t="s">
        <v>58</v>
      </c>
      <c r="E15" s="23" t="s">
        <v>57</v>
      </c>
      <c r="F15" s="1" t="s">
        <v>37</v>
      </c>
      <c r="G15" s="1"/>
      <c r="H15" s="2">
        <v>281601</v>
      </c>
      <c r="I15" s="2"/>
      <c r="J15" s="4"/>
      <c r="K15" s="4">
        <v>281600</v>
      </c>
      <c r="L15" s="18"/>
      <c r="M15" s="18"/>
      <c r="N15" s="35">
        <v>76600</v>
      </c>
      <c r="O15" s="2"/>
      <c r="P15" s="2"/>
      <c r="Q15" s="2"/>
      <c r="R15" s="2"/>
      <c r="S15" s="3"/>
      <c r="T15" s="2"/>
      <c r="U15" s="2"/>
      <c r="V15" s="4"/>
      <c r="W15" s="4">
        <v>281600</v>
      </c>
      <c r="X15" s="18"/>
      <c r="Y15" s="18"/>
      <c r="Z15" s="35"/>
      <c r="AA15" s="2">
        <v>76600</v>
      </c>
      <c r="AB15" s="2"/>
      <c r="AC15" s="2"/>
      <c r="AD15" s="2"/>
      <c r="AE15" s="52"/>
      <c r="AF15" s="2"/>
      <c r="AG15" s="16"/>
      <c r="AH15" s="2">
        <v>3248290</v>
      </c>
      <c r="AI15" s="2">
        <f t="shared" si="0"/>
        <v>3529891</v>
      </c>
      <c r="AJ15" s="2">
        <f t="shared" si="1"/>
        <v>358200</v>
      </c>
      <c r="AK15" s="2">
        <f t="shared" si="2"/>
        <v>358200</v>
      </c>
      <c r="AL15" s="2">
        <f t="shared" si="3"/>
        <v>3171691</v>
      </c>
      <c r="AM15" s="2">
        <f t="shared" si="4"/>
        <v>0</v>
      </c>
      <c r="AN15" s="2">
        <f t="shared" si="5"/>
        <v>3171691</v>
      </c>
    </row>
    <row r="16" spans="1:40" ht="31.5" customHeight="1" x14ac:dyDescent="0.25">
      <c r="A16" s="55">
        <v>9</v>
      </c>
      <c r="B16" s="11" t="s">
        <v>56</v>
      </c>
      <c r="C16" s="38" t="s">
        <v>62</v>
      </c>
      <c r="D16" s="15" t="s">
        <v>60</v>
      </c>
      <c r="E16" s="3" t="s">
        <v>61</v>
      </c>
      <c r="F16" s="1" t="s">
        <v>37</v>
      </c>
      <c r="G16" s="1"/>
      <c r="H16" s="2">
        <v>405000</v>
      </c>
      <c r="I16" s="2"/>
      <c r="J16" s="52">
        <f>356992.06+374126.19</f>
        <v>731118.25</v>
      </c>
      <c r="K16" s="2"/>
      <c r="L16" s="2">
        <v>388933.73</v>
      </c>
      <c r="M16" s="2">
        <v>402047.42</v>
      </c>
      <c r="N16" s="2">
        <v>400406.32</v>
      </c>
      <c r="O16" s="2"/>
      <c r="P16" s="2">
        <v>397259.51</v>
      </c>
      <c r="Q16" s="18">
        <v>392736.16</v>
      </c>
      <c r="R16" s="36">
        <v>389835.99</v>
      </c>
      <c r="S16" s="3">
        <v>431323.2</v>
      </c>
      <c r="T16" s="2"/>
      <c r="U16" s="2"/>
      <c r="V16" s="52">
        <f>300692.62+315090.97+17135.62+39163.82+17958.06+41077.16</f>
        <v>731118.25</v>
      </c>
      <c r="W16" s="2"/>
      <c r="X16" s="2">
        <f>327563.18+18668.82318+42701.73</f>
        <v>388933.73317999998</v>
      </c>
      <c r="Y16" s="2">
        <f>338624.9+44124.24+19298.28</f>
        <v>402047.42000000004</v>
      </c>
      <c r="Z16" s="2">
        <f>337250.13+19219.5+43936.69</f>
        <v>400406.32</v>
      </c>
      <c r="AA16" s="2"/>
      <c r="AB16" s="2">
        <f>334607.25+19068.46+43583.8</f>
        <v>397259.51</v>
      </c>
      <c r="AC16" s="2">
        <v>392736.16</v>
      </c>
      <c r="AD16" s="36">
        <f>328332.78+18712.13+42791.08</f>
        <v>389835.99000000005</v>
      </c>
      <c r="AE16" s="3">
        <f>363254.23+47365.46+20703.51</f>
        <v>431323.2</v>
      </c>
      <c r="AF16" s="2"/>
      <c r="AG16" s="4"/>
      <c r="AH16" s="2">
        <v>3149407</v>
      </c>
      <c r="AI16" s="2">
        <f t="shared" si="0"/>
        <v>3554407</v>
      </c>
      <c r="AJ16" s="2">
        <f t="shared" si="1"/>
        <v>3533660.58</v>
      </c>
      <c r="AK16" s="2">
        <f t="shared" si="2"/>
        <v>3533660.5831800005</v>
      </c>
      <c r="AL16" s="2">
        <f t="shared" si="3"/>
        <v>20746.41681999946</v>
      </c>
      <c r="AM16" s="2">
        <f t="shared" si="4"/>
        <v>-3.1800004653632641E-3</v>
      </c>
      <c r="AN16" s="2">
        <f t="shared" si="5"/>
        <v>20746.419999999925</v>
      </c>
    </row>
    <row r="17" spans="1:40" ht="31.5" customHeight="1" x14ac:dyDescent="0.25">
      <c r="A17" s="55">
        <v>10</v>
      </c>
      <c r="B17" s="1" t="s">
        <v>56</v>
      </c>
      <c r="C17" s="15" t="s">
        <v>65</v>
      </c>
      <c r="D17" s="20" t="s">
        <v>63</v>
      </c>
      <c r="E17" s="3" t="s">
        <v>64</v>
      </c>
      <c r="F17" s="1" t="s">
        <v>36</v>
      </c>
      <c r="G17" s="3"/>
      <c r="H17" s="2">
        <v>9901</v>
      </c>
      <c r="I17" s="2">
        <f>2288+420+420</f>
        <v>3128</v>
      </c>
      <c r="J17" s="4">
        <f>1680+1120+1680+420+420</f>
        <v>5320</v>
      </c>
      <c r="K17" s="2">
        <f>3300+360+420+420+1680+2644</f>
        <v>8824</v>
      </c>
      <c r="L17" s="2">
        <f>420+160+420+1680+3300</f>
        <v>5980</v>
      </c>
      <c r="M17" s="2">
        <f>420+420+3300+800</f>
        <v>4940</v>
      </c>
      <c r="N17" s="2">
        <f>3300+1240</f>
        <v>4540</v>
      </c>
      <c r="O17" s="18">
        <f>3300+1432</f>
        <v>4732</v>
      </c>
      <c r="P17" s="52"/>
      <c r="Q17" s="2">
        <f>3300+2104+1320+3300</f>
        <v>10024</v>
      </c>
      <c r="R17" s="2">
        <f>1320+3300</f>
        <v>4620</v>
      </c>
      <c r="S17" s="3"/>
      <c r="T17" s="2"/>
      <c r="U17" s="2"/>
      <c r="V17" s="4">
        <f>2288+420+420+1680+1120</f>
        <v>5928</v>
      </c>
      <c r="W17" s="2">
        <f>3300+360+1680+420+420</f>
        <v>6180</v>
      </c>
      <c r="X17" s="2">
        <f>420+420+1680+2644</f>
        <v>5164</v>
      </c>
      <c r="Y17" s="2">
        <f>3300+1680+420+160+420</f>
        <v>5980</v>
      </c>
      <c r="Z17" s="2">
        <f>800+420+420+3300</f>
        <v>4940</v>
      </c>
      <c r="AA17" s="36">
        <f>3300+1240</f>
        <v>4540</v>
      </c>
      <c r="AB17" s="2">
        <f>3300+1432</f>
        <v>4732</v>
      </c>
      <c r="AC17" s="2">
        <f>2104+3300</f>
        <v>5404</v>
      </c>
      <c r="AD17" s="2">
        <f>1320+3300</f>
        <v>4620</v>
      </c>
      <c r="AE17" s="3"/>
      <c r="AF17" s="2"/>
      <c r="AG17" s="2"/>
      <c r="AH17" s="2">
        <v>42785</v>
      </c>
      <c r="AI17" s="2">
        <f t="shared" si="0"/>
        <v>52686</v>
      </c>
      <c r="AJ17" s="2">
        <f t="shared" si="1"/>
        <v>52108</v>
      </c>
      <c r="AK17" s="2">
        <f t="shared" si="2"/>
        <v>47488</v>
      </c>
      <c r="AL17" s="2">
        <f t="shared" si="3"/>
        <v>5198</v>
      </c>
      <c r="AM17" s="2">
        <f t="shared" si="4"/>
        <v>4620</v>
      </c>
      <c r="AN17" s="2">
        <f t="shared" si="5"/>
        <v>578</v>
      </c>
    </row>
    <row r="18" spans="1:40" ht="31.5" customHeight="1" x14ac:dyDescent="0.25">
      <c r="A18" s="55">
        <v>11</v>
      </c>
      <c r="B18" s="11" t="s">
        <v>56</v>
      </c>
      <c r="C18" s="9" t="s">
        <v>68</v>
      </c>
      <c r="D18" s="6" t="s">
        <v>40</v>
      </c>
      <c r="E18" s="1" t="s">
        <v>41</v>
      </c>
      <c r="F18" s="1" t="s">
        <v>36</v>
      </c>
      <c r="G18" s="1"/>
      <c r="H18" s="2">
        <v>90000</v>
      </c>
      <c r="I18" s="2"/>
      <c r="J18" s="4"/>
      <c r="K18" s="2"/>
      <c r="L18" s="2"/>
      <c r="M18" s="2"/>
      <c r="N18" s="2"/>
      <c r="O18" s="2"/>
      <c r="P18" s="2"/>
      <c r="Q18" s="2"/>
      <c r="R18" s="2"/>
      <c r="S18" s="3"/>
      <c r="T18" s="2"/>
      <c r="U18" s="2"/>
      <c r="V18" s="34"/>
      <c r="W18" s="2"/>
      <c r="X18" s="2"/>
      <c r="Y18" s="2"/>
      <c r="Z18" s="2"/>
      <c r="AA18" s="2"/>
      <c r="AB18" s="2"/>
      <c r="AC18" s="2"/>
      <c r="AD18" s="2"/>
      <c r="AE18" s="3"/>
      <c r="AF18" s="2"/>
      <c r="AG18" s="2">
        <v>90000</v>
      </c>
      <c r="AH18" s="2"/>
      <c r="AI18" s="2">
        <f t="shared" si="0"/>
        <v>0</v>
      </c>
      <c r="AJ18" s="2">
        <f t="shared" si="1"/>
        <v>0</v>
      </c>
      <c r="AK18" s="2">
        <f t="shared" si="2"/>
        <v>0</v>
      </c>
      <c r="AL18" s="2">
        <f t="shared" si="3"/>
        <v>0</v>
      </c>
      <c r="AM18" s="2">
        <f t="shared" si="4"/>
        <v>0</v>
      </c>
      <c r="AN18" s="2">
        <f t="shared" si="5"/>
        <v>0</v>
      </c>
    </row>
    <row r="19" spans="1:40" ht="31.5" customHeight="1" x14ac:dyDescent="0.25">
      <c r="A19" s="55">
        <v>12</v>
      </c>
      <c r="B19" s="11" t="s">
        <v>56</v>
      </c>
      <c r="C19" s="9" t="s">
        <v>71</v>
      </c>
      <c r="D19" s="6" t="s">
        <v>69</v>
      </c>
      <c r="E19" s="1" t="s">
        <v>70</v>
      </c>
      <c r="F19" s="1" t="s">
        <v>36</v>
      </c>
      <c r="G19" s="1"/>
      <c r="H19" s="2">
        <v>500</v>
      </c>
      <c r="I19" s="2"/>
      <c r="J19" s="4">
        <v>499.38</v>
      </c>
      <c r="K19" s="22">
        <v>499.38</v>
      </c>
      <c r="L19" s="2">
        <f>526.45+499.38</f>
        <v>1025.83</v>
      </c>
      <c r="M19" s="2"/>
      <c r="N19" s="2">
        <v>499.38</v>
      </c>
      <c r="O19" s="2"/>
      <c r="P19" s="2">
        <f>308.88+499.24</f>
        <v>808.12</v>
      </c>
      <c r="Q19" s="2"/>
      <c r="R19" s="2">
        <v>499.24</v>
      </c>
      <c r="S19" s="3">
        <v>519.86</v>
      </c>
      <c r="T19" s="2"/>
      <c r="U19" s="2"/>
      <c r="V19" s="2">
        <v>499.38</v>
      </c>
      <c r="W19" s="2">
        <v>499.38</v>
      </c>
      <c r="X19" s="2">
        <f>526.45+499.38</f>
        <v>1025.83</v>
      </c>
      <c r="Y19" s="2"/>
      <c r="Z19" s="2">
        <v>499.38</v>
      </c>
      <c r="AA19" s="2"/>
      <c r="AB19" s="2">
        <f>308.88+499.24</f>
        <v>808.12</v>
      </c>
      <c r="AC19" s="2"/>
      <c r="AD19" s="2">
        <v>499.24</v>
      </c>
      <c r="AE19" s="3">
        <v>519.86</v>
      </c>
      <c r="AF19" s="2"/>
      <c r="AG19" s="19"/>
      <c r="AH19" s="2">
        <v>4020</v>
      </c>
      <c r="AI19" s="2">
        <f t="shared" si="0"/>
        <v>4520</v>
      </c>
      <c r="AJ19" s="2">
        <f t="shared" si="1"/>
        <v>4351.1899999999996</v>
      </c>
      <c r="AK19" s="2">
        <f t="shared" si="2"/>
        <v>4351.1899999999996</v>
      </c>
      <c r="AL19" s="2">
        <f t="shared" si="3"/>
        <v>168.8100000000004</v>
      </c>
      <c r="AM19" s="2">
        <f t="shared" si="4"/>
        <v>0</v>
      </c>
      <c r="AN19" s="2">
        <f t="shared" si="5"/>
        <v>168.8100000000004</v>
      </c>
    </row>
    <row r="20" spans="1:40" ht="31.5" customHeight="1" x14ac:dyDescent="0.25">
      <c r="A20" s="55">
        <v>13</v>
      </c>
      <c r="B20" s="11" t="s">
        <v>56</v>
      </c>
      <c r="C20" s="9" t="s">
        <v>74</v>
      </c>
      <c r="D20" s="6" t="s">
        <v>72</v>
      </c>
      <c r="E20" s="1" t="s">
        <v>73</v>
      </c>
      <c r="F20" s="1" t="s">
        <v>36</v>
      </c>
      <c r="G20" s="1"/>
      <c r="H20" s="2">
        <v>30000</v>
      </c>
      <c r="I20" s="2">
        <v>45149.88</v>
      </c>
      <c r="J20" s="4">
        <v>12967.28</v>
      </c>
      <c r="K20" s="2">
        <f>5301.87+24380.02+16903.71+2167.44</f>
        <v>48753.04</v>
      </c>
      <c r="L20" s="2">
        <f>4544.91+16587.75+16196.87+8196.47</f>
        <v>45526</v>
      </c>
      <c r="M20" s="2">
        <f>3951.66+16255.88+10150.07</f>
        <v>30357.61</v>
      </c>
      <c r="N20" s="2">
        <f>9518.76+5048.08+38587.77</f>
        <v>53154.61</v>
      </c>
      <c r="O20" s="2">
        <f>11795.98+27514.05+6542.33</f>
        <v>45852.36</v>
      </c>
      <c r="P20" s="2">
        <f>7690.77+10053.02</f>
        <v>17743.79</v>
      </c>
      <c r="Q20" s="2">
        <v>63074.37</v>
      </c>
      <c r="R20" s="22"/>
      <c r="S20" s="3"/>
      <c r="T20" s="2"/>
      <c r="U20" s="2">
        <v>45149.88</v>
      </c>
      <c r="V20" s="2">
        <v>12967.28</v>
      </c>
      <c r="W20" s="2">
        <f>5301.87+24380.02+16903.71+2167.44</f>
        <v>48753.04</v>
      </c>
      <c r="X20" s="2">
        <f>4544.91+16587.75+16196.87+8196.47</f>
        <v>45526</v>
      </c>
      <c r="Y20" s="2">
        <f>3951.66+16255.88+10150.07</f>
        <v>30357.61</v>
      </c>
      <c r="Z20" s="2">
        <f>9518.76+5048.08+38587.77</f>
        <v>53154.61</v>
      </c>
      <c r="AA20" s="2">
        <f>11795.98+27514.05+6542.33</f>
        <v>45852.36</v>
      </c>
      <c r="AB20" s="2">
        <f>7690.77+10053.02</f>
        <v>17743.79</v>
      </c>
      <c r="AC20" s="2">
        <v>63074.37</v>
      </c>
      <c r="AD20" s="2"/>
      <c r="AE20" s="3"/>
      <c r="AF20" s="2"/>
      <c r="AG20" s="4"/>
      <c r="AH20" s="2">
        <v>336990</v>
      </c>
      <c r="AI20" s="2">
        <f t="shared" si="0"/>
        <v>366990</v>
      </c>
      <c r="AJ20" s="2">
        <f t="shared" si="1"/>
        <v>362578.93999999994</v>
      </c>
      <c r="AK20" s="2">
        <f t="shared" si="2"/>
        <v>362578.93999999994</v>
      </c>
      <c r="AL20" s="2">
        <f t="shared" si="3"/>
        <v>4411.0600000000559</v>
      </c>
      <c r="AM20" s="2">
        <f t="shared" si="4"/>
        <v>0</v>
      </c>
      <c r="AN20" s="2">
        <f t="shared" si="5"/>
        <v>4411.0600000000559</v>
      </c>
    </row>
    <row r="21" spans="1:40" ht="30.75" customHeight="1" x14ac:dyDescent="0.25">
      <c r="A21" s="55">
        <v>14</v>
      </c>
      <c r="B21" s="11" t="s">
        <v>56</v>
      </c>
      <c r="C21" s="9" t="s">
        <v>59</v>
      </c>
      <c r="D21" s="6" t="s">
        <v>75</v>
      </c>
      <c r="E21" s="1" t="s">
        <v>76</v>
      </c>
      <c r="F21" s="1" t="s">
        <v>36</v>
      </c>
      <c r="G21" s="1"/>
      <c r="H21" s="2">
        <v>16501</v>
      </c>
      <c r="I21" s="2"/>
      <c r="J21" s="4">
        <v>16500</v>
      </c>
      <c r="K21" s="2">
        <v>16500</v>
      </c>
      <c r="L21" s="2">
        <v>16500</v>
      </c>
      <c r="M21" s="2">
        <v>16500</v>
      </c>
      <c r="N21" s="2">
        <v>16500</v>
      </c>
      <c r="O21" s="2">
        <v>16500</v>
      </c>
      <c r="P21" s="2">
        <v>16500</v>
      </c>
      <c r="Q21" s="2">
        <v>16500</v>
      </c>
      <c r="R21" s="2"/>
      <c r="S21" s="3">
        <v>16500</v>
      </c>
      <c r="T21" s="2"/>
      <c r="U21" s="2"/>
      <c r="V21" s="4">
        <f t="shared" ref="V21:AB21" si="6">16252.5+247.5</f>
        <v>16500</v>
      </c>
      <c r="W21" s="2">
        <f t="shared" si="6"/>
        <v>16500</v>
      </c>
      <c r="X21" s="2">
        <f t="shared" si="6"/>
        <v>16500</v>
      </c>
      <c r="Y21" s="2">
        <f t="shared" si="6"/>
        <v>16500</v>
      </c>
      <c r="Z21" s="2">
        <f t="shared" si="6"/>
        <v>16500</v>
      </c>
      <c r="AA21" s="2">
        <f t="shared" si="6"/>
        <v>16500</v>
      </c>
      <c r="AB21" s="2">
        <f t="shared" si="6"/>
        <v>16500</v>
      </c>
      <c r="AC21" s="2">
        <f>16252.5+247.5</f>
        <v>16500</v>
      </c>
      <c r="AD21" s="2"/>
      <c r="AE21" s="3">
        <f>16252.5+247.5</f>
        <v>16500</v>
      </c>
      <c r="AF21" s="2"/>
      <c r="AG21" s="4"/>
      <c r="AH21" s="2">
        <v>134000</v>
      </c>
      <c r="AI21" s="2">
        <f t="shared" si="0"/>
        <v>150501</v>
      </c>
      <c r="AJ21" s="2">
        <f t="shared" si="1"/>
        <v>148500</v>
      </c>
      <c r="AK21" s="2">
        <f t="shared" si="2"/>
        <v>148500</v>
      </c>
      <c r="AL21" s="2">
        <f t="shared" si="3"/>
        <v>2001</v>
      </c>
      <c r="AM21" s="2">
        <f t="shared" si="4"/>
        <v>0</v>
      </c>
      <c r="AN21" s="2">
        <f t="shared" si="5"/>
        <v>2001</v>
      </c>
    </row>
    <row r="22" spans="1:40" ht="31.5" customHeight="1" x14ac:dyDescent="0.25">
      <c r="A22" s="55">
        <v>15</v>
      </c>
      <c r="B22" s="11" t="s">
        <v>56</v>
      </c>
      <c r="C22" s="46" t="s">
        <v>79</v>
      </c>
      <c r="D22" s="6" t="s">
        <v>77</v>
      </c>
      <c r="E22" s="1" t="s">
        <v>78</v>
      </c>
      <c r="F22" s="1" t="s">
        <v>36</v>
      </c>
      <c r="G22" s="1"/>
      <c r="H22" s="2">
        <v>3001</v>
      </c>
      <c r="I22" s="2"/>
      <c r="J22" s="4">
        <v>3000</v>
      </c>
      <c r="K22" s="2">
        <v>3000</v>
      </c>
      <c r="L22" s="2">
        <v>3000</v>
      </c>
      <c r="M22" s="2">
        <v>3000</v>
      </c>
      <c r="N22" s="2">
        <v>3000</v>
      </c>
      <c r="O22" s="2">
        <v>3000</v>
      </c>
      <c r="P22" s="2">
        <v>3000</v>
      </c>
      <c r="Q22" s="2">
        <v>3000</v>
      </c>
      <c r="R22" s="2">
        <v>3000</v>
      </c>
      <c r="S22" s="3"/>
      <c r="T22" s="2"/>
      <c r="U22" s="2"/>
      <c r="V22" s="2">
        <v>3000</v>
      </c>
      <c r="W22" s="2">
        <v>3000</v>
      </c>
      <c r="X22" s="2">
        <v>3000</v>
      </c>
      <c r="Y22" s="2">
        <v>3000</v>
      </c>
      <c r="Z22" s="2">
        <v>3000</v>
      </c>
      <c r="AA22" s="2">
        <v>3000</v>
      </c>
      <c r="AB22" s="2">
        <v>3000</v>
      </c>
      <c r="AC22" s="2">
        <v>3000</v>
      </c>
      <c r="AD22" s="2">
        <v>3000</v>
      </c>
      <c r="AE22" s="3"/>
      <c r="AF22" s="2"/>
      <c r="AG22" s="4">
        <v>3000</v>
      </c>
      <c r="AH22" s="2">
        <v>30500</v>
      </c>
      <c r="AI22" s="2">
        <f t="shared" si="0"/>
        <v>30501</v>
      </c>
      <c r="AJ22" s="2">
        <f t="shared" si="1"/>
        <v>27000</v>
      </c>
      <c r="AK22" s="2">
        <f t="shared" si="2"/>
        <v>27000</v>
      </c>
      <c r="AL22" s="2">
        <f t="shared" si="3"/>
        <v>3501</v>
      </c>
      <c r="AM22" s="2">
        <f t="shared" si="4"/>
        <v>0</v>
      </c>
      <c r="AN22" s="2">
        <f t="shared" si="5"/>
        <v>3501</v>
      </c>
    </row>
    <row r="23" spans="1:40" ht="31.5" customHeight="1" x14ac:dyDescent="0.25">
      <c r="A23" s="55">
        <v>16</v>
      </c>
      <c r="B23" s="11" t="s">
        <v>56</v>
      </c>
      <c r="C23" s="28" t="s">
        <v>80</v>
      </c>
      <c r="D23" s="47" t="s">
        <v>81</v>
      </c>
      <c r="E23" s="1" t="s">
        <v>82</v>
      </c>
      <c r="F23" s="1" t="s">
        <v>36</v>
      </c>
      <c r="G23" s="1"/>
      <c r="H23" s="2">
        <v>2001</v>
      </c>
      <c r="I23" s="2"/>
      <c r="J23" s="4">
        <v>2000</v>
      </c>
      <c r="K23" s="4">
        <v>2000</v>
      </c>
      <c r="L23" s="2">
        <v>2000</v>
      </c>
      <c r="M23" s="2">
        <v>2000</v>
      </c>
      <c r="N23" s="2">
        <v>2000</v>
      </c>
      <c r="O23" s="2">
        <v>2000</v>
      </c>
      <c r="P23" s="2">
        <v>2000</v>
      </c>
      <c r="Q23" s="2">
        <v>2000</v>
      </c>
      <c r="R23" s="2">
        <v>2000</v>
      </c>
      <c r="S23" s="3"/>
      <c r="T23" s="2"/>
      <c r="U23" s="2"/>
      <c r="V23" s="4">
        <v>2000</v>
      </c>
      <c r="W23" s="4">
        <v>2000</v>
      </c>
      <c r="X23" s="2">
        <v>2000</v>
      </c>
      <c r="Y23" s="2">
        <v>2000</v>
      </c>
      <c r="Z23" s="2">
        <v>2000</v>
      </c>
      <c r="AA23" s="2">
        <v>2000</v>
      </c>
      <c r="AB23" s="2">
        <v>2000</v>
      </c>
      <c r="AC23" s="2">
        <v>2000</v>
      </c>
      <c r="AD23" s="2">
        <v>2000</v>
      </c>
      <c r="AE23" s="3"/>
      <c r="AF23" s="2"/>
      <c r="AG23" s="4">
        <v>1500</v>
      </c>
      <c r="AH23" s="2">
        <v>17500</v>
      </c>
      <c r="AI23" s="2">
        <f t="shared" si="0"/>
        <v>18001</v>
      </c>
      <c r="AJ23" s="2">
        <f t="shared" si="1"/>
        <v>18000</v>
      </c>
      <c r="AK23" s="2">
        <f t="shared" si="2"/>
        <v>18000</v>
      </c>
      <c r="AL23" s="2">
        <f t="shared" si="3"/>
        <v>1</v>
      </c>
      <c r="AM23" s="2">
        <f t="shared" si="4"/>
        <v>0</v>
      </c>
      <c r="AN23" s="2">
        <f t="shared" si="5"/>
        <v>1</v>
      </c>
    </row>
    <row r="24" spans="1:40" ht="31.5" customHeight="1" x14ac:dyDescent="0.25">
      <c r="A24" s="55">
        <v>17</v>
      </c>
      <c r="B24" s="11" t="s">
        <v>56</v>
      </c>
      <c r="C24" s="15" t="s">
        <v>85</v>
      </c>
      <c r="D24" s="38" t="s">
        <v>83</v>
      </c>
      <c r="E24" s="1" t="s">
        <v>84</v>
      </c>
      <c r="F24" s="1" t="s">
        <v>36</v>
      </c>
      <c r="G24" s="1"/>
      <c r="H24" s="2">
        <v>9788</v>
      </c>
      <c r="I24" s="2"/>
      <c r="J24" s="4">
        <v>9787.3799999999992</v>
      </c>
      <c r="K24" s="2"/>
      <c r="L24" s="2">
        <f>9787.38+9787.38</f>
        <v>19574.759999999998</v>
      </c>
      <c r="M24" s="2">
        <v>9787.3799999999992</v>
      </c>
      <c r="N24" s="2">
        <v>10365.51</v>
      </c>
      <c r="O24" s="2"/>
      <c r="P24" s="2">
        <v>10365.51</v>
      </c>
      <c r="Q24" s="2">
        <f>10365.51+10365.51</f>
        <v>20731.02</v>
      </c>
      <c r="R24" s="2"/>
      <c r="S24" s="3"/>
      <c r="T24" s="22"/>
      <c r="U24" s="2"/>
      <c r="V24" s="4">
        <f>8240.98+469.79+1076.61</f>
        <v>9787.380000000001</v>
      </c>
      <c r="W24" s="2"/>
      <c r="X24" s="2">
        <f>8240.98+8240.98+1076.61+469.79+469.79+1076.61</f>
        <v>19574.760000000002</v>
      </c>
      <c r="Y24" s="2">
        <f>8240.98+1076.61+469.79</f>
        <v>9787.380000000001</v>
      </c>
      <c r="Z24" s="2">
        <f>8727.76+497.54+1140.21</f>
        <v>10365.510000000002</v>
      </c>
      <c r="AA24" s="2"/>
      <c r="AB24" s="2">
        <f>8727.76+497.54+1140.21</f>
        <v>10365.510000000002</v>
      </c>
      <c r="AC24" s="2">
        <f>8727.76+8727.76+497.54+1140.21+497.54+1140.21</f>
        <v>20731.02</v>
      </c>
      <c r="AD24" s="2"/>
      <c r="AE24" s="3"/>
      <c r="AF24" s="2"/>
      <c r="AG24" s="16"/>
      <c r="AH24" s="2">
        <v>75458.149999999994</v>
      </c>
      <c r="AI24" s="2">
        <f t="shared" si="0"/>
        <v>85246.15</v>
      </c>
      <c r="AJ24" s="2">
        <f t="shared" si="1"/>
        <v>80611.56</v>
      </c>
      <c r="AK24" s="2">
        <f t="shared" si="2"/>
        <v>80611.560000000012</v>
      </c>
      <c r="AL24" s="2">
        <f t="shared" si="3"/>
        <v>4634.589999999982</v>
      </c>
      <c r="AM24" s="2">
        <f t="shared" si="4"/>
        <v>-1.4551915228366852E-11</v>
      </c>
      <c r="AN24" s="2">
        <f t="shared" si="5"/>
        <v>4634.5899999999965</v>
      </c>
    </row>
    <row r="25" spans="1:40" ht="31.5" customHeight="1" x14ac:dyDescent="0.25">
      <c r="A25" s="55">
        <v>18</v>
      </c>
      <c r="B25" s="11" t="s">
        <v>56</v>
      </c>
      <c r="C25" s="9" t="s">
        <v>88</v>
      </c>
      <c r="D25" s="6" t="s">
        <v>87</v>
      </c>
      <c r="E25" s="1" t="s">
        <v>86</v>
      </c>
      <c r="F25" s="1" t="s">
        <v>36</v>
      </c>
      <c r="G25" s="1"/>
      <c r="H25" s="2">
        <v>11260</v>
      </c>
      <c r="I25" s="2"/>
      <c r="J25" s="4">
        <v>11259.42</v>
      </c>
      <c r="K25" s="2">
        <f>11259.42+3180</f>
        <v>14439.42</v>
      </c>
      <c r="L25" s="2">
        <v>11259.42</v>
      </c>
      <c r="M25" s="2">
        <v>11259.42</v>
      </c>
      <c r="N25" s="2">
        <v>11259.42</v>
      </c>
      <c r="O25" s="2">
        <v>11259.42</v>
      </c>
      <c r="P25" s="2"/>
      <c r="Q25" s="2">
        <v>5629.71</v>
      </c>
      <c r="R25" s="2"/>
      <c r="S25" s="3"/>
      <c r="T25" s="2"/>
      <c r="U25" s="2"/>
      <c r="V25" s="4">
        <f>10099.7+540.45+619.27</f>
        <v>11259.420000000002</v>
      </c>
      <c r="W25" s="2">
        <f>10099.7+3027.36+540.45+619.27+152.64</f>
        <v>14439.420000000002</v>
      </c>
      <c r="X25" s="2">
        <f>10099.7+540.45+619.27</f>
        <v>11259.420000000002</v>
      </c>
      <c r="Y25" s="2">
        <f>10099.7+540.45+619.27</f>
        <v>11259.420000000002</v>
      </c>
      <c r="Z25" s="2">
        <f>10099.7+540.45+619.27</f>
        <v>11259.420000000002</v>
      </c>
      <c r="AA25" s="2">
        <f>10099.7+540.45+619.27</f>
        <v>11259.420000000002</v>
      </c>
      <c r="AB25" s="2"/>
      <c r="AC25" s="35">
        <f>5049.85+270.23+309.63</f>
        <v>5629.71</v>
      </c>
      <c r="AD25" s="2"/>
      <c r="AE25" s="3"/>
      <c r="AF25" s="2"/>
      <c r="AG25" s="2">
        <v>6313.19</v>
      </c>
      <c r="AH25" s="2">
        <v>71420</v>
      </c>
      <c r="AI25" s="2">
        <f t="shared" si="0"/>
        <v>76366.81</v>
      </c>
      <c r="AJ25" s="2">
        <f t="shared" si="1"/>
        <v>76366.23000000001</v>
      </c>
      <c r="AK25" s="2">
        <f t="shared" si="2"/>
        <v>76366.23000000001</v>
      </c>
      <c r="AL25" s="2">
        <f t="shared" si="3"/>
        <v>0.57999999998719431</v>
      </c>
      <c r="AM25" s="2">
        <f t="shared" si="4"/>
        <v>0</v>
      </c>
      <c r="AN25" s="2">
        <f t="shared" si="5"/>
        <v>0.57999999998719431</v>
      </c>
    </row>
    <row r="26" spans="1:40" ht="31.5" customHeight="1" x14ac:dyDescent="0.25">
      <c r="A26" s="55">
        <v>19</v>
      </c>
      <c r="B26" s="11" t="s">
        <v>56</v>
      </c>
      <c r="C26" s="10" t="s">
        <v>91</v>
      </c>
      <c r="D26" s="6" t="s">
        <v>89</v>
      </c>
      <c r="E26" s="1" t="s">
        <v>90</v>
      </c>
      <c r="F26" s="1" t="s">
        <v>36</v>
      </c>
      <c r="G26" s="1"/>
      <c r="H26" s="2">
        <v>10000</v>
      </c>
      <c r="I26" s="2"/>
      <c r="J26" s="4">
        <f>3832.32+6046.53</f>
        <v>9878.85</v>
      </c>
      <c r="K26" s="2">
        <f>5740.3+4099.24</f>
        <v>9839.5400000000009</v>
      </c>
      <c r="L26" s="2">
        <v>4159.2</v>
      </c>
      <c r="M26" s="2">
        <f>1613.16+3145.46+5858.5+6209.49</f>
        <v>16826.61</v>
      </c>
      <c r="N26" s="2"/>
      <c r="O26" s="2"/>
      <c r="P26" s="2">
        <v>2451.21</v>
      </c>
      <c r="Q26" s="2"/>
      <c r="R26" s="2"/>
      <c r="S26" s="3"/>
      <c r="T26" s="2"/>
      <c r="U26" s="2"/>
      <c r="V26" s="4">
        <f>3832.32+6046.53</f>
        <v>9878.85</v>
      </c>
      <c r="W26" s="2">
        <f>5740.3+4099.24</f>
        <v>9839.5400000000009</v>
      </c>
      <c r="X26" s="2">
        <v>4159.2</v>
      </c>
      <c r="Y26" s="2">
        <f>1613.16+3145.46+5858.5+6209.49</f>
        <v>16826.61</v>
      </c>
      <c r="Z26" s="2"/>
      <c r="AA26" s="2"/>
      <c r="AB26" s="2">
        <v>2451.21</v>
      </c>
      <c r="AC26" s="2"/>
      <c r="AD26" s="2"/>
      <c r="AE26" s="3"/>
      <c r="AF26" s="2"/>
      <c r="AG26" s="4">
        <v>1294.8</v>
      </c>
      <c r="AH26" s="2">
        <v>34500</v>
      </c>
      <c r="AI26" s="2">
        <f t="shared" si="0"/>
        <v>43205.2</v>
      </c>
      <c r="AJ26" s="2">
        <f t="shared" si="1"/>
        <v>43155.409999999996</v>
      </c>
      <c r="AK26" s="2">
        <f t="shared" si="2"/>
        <v>43155.409999999996</v>
      </c>
      <c r="AL26" s="2">
        <f t="shared" si="3"/>
        <v>49.790000000000873</v>
      </c>
      <c r="AM26" s="2">
        <f t="shared" si="4"/>
        <v>0</v>
      </c>
      <c r="AN26" s="2">
        <f t="shared" si="5"/>
        <v>49.790000000000873</v>
      </c>
    </row>
    <row r="27" spans="1:40" ht="31.5" customHeight="1" x14ac:dyDescent="0.25">
      <c r="A27" s="55">
        <v>20</v>
      </c>
      <c r="B27" s="11" t="s">
        <v>26</v>
      </c>
      <c r="C27" s="9" t="s">
        <v>94</v>
      </c>
      <c r="D27" s="6" t="s">
        <v>92</v>
      </c>
      <c r="E27" s="1" t="s">
        <v>93</v>
      </c>
      <c r="F27" s="1" t="s">
        <v>36</v>
      </c>
      <c r="G27" s="1"/>
      <c r="H27" s="2">
        <v>900</v>
      </c>
      <c r="I27" s="2">
        <v>900</v>
      </c>
      <c r="J27" s="4"/>
      <c r="K27" s="2"/>
      <c r="L27" s="2"/>
      <c r="M27" s="18"/>
      <c r="N27" s="18"/>
      <c r="O27" s="2"/>
      <c r="P27" s="2"/>
      <c r="Q27" s="2"/>
      <c r="R27" s="36"/>
      <c r="S27" s="18"/>
      <c r="T27" s="2"/>
      <c r="U27" s="2">
        <v>900</v>
      </c>
      <c r="V27" s="4"/>
      <c r="W27" s="2"/>
      <c r="X27" s="2"/>
      <c r="Y27" s="18"/>
      <c r="Z27" s="37"/>
      <c r="AA27" s="2"/>
      <c r="AB27" s="2"/>
      <c r="AC27" s="2"/>
      <c r="AD27" s="36"/>
      <c r="AE27" s="3"/>
      <c r="AF27" s="2"/>
      <c r="AG27" s="16"/>
      <c r="AH27" s="2"/>
      <c r="AI27" s="2">
        <f t="shared" si="0"/>
        <v>900</v>
      </c>
      <c r="AJ27" s="2">
        <f t="shared" si="1"/>
        <v>900</v>
      </c>
      <c r="AK27" s="2">
        <f t="shared" si="2"/>
        <v>900</v>
      </c>
      <c r="AL27" s="2">
        <f t="shared" si="3"/>
        <v>0</v>
      </c>
      <c r="AM27" s="2">
        <f t="shared" si="4"/>
        <v>0</v>
      </c>
      <c r="AN27" s="2">
        <f t="shared" si="5"/>
        <v>0</v>
      </c>
    </row>
    <row r="28" spans="1:40" ht="31.5" customHeight="1" x14ac:dyDescent="0.25">
      <c r="A28" s="55">
        <v>21</v>
      </c>
      <c r="B28" s="11" t="s">
        <v>56</v>
      </c>
      <c r="C28" s="9" t="s">
        <v>97</v>
      </c>
      <c r="D28" s="6" t="s">
        <v>95</v>
      </c>
      <c r="E28" s="17" t="s">
        <v>96</v>
      </c>
      <c r="F28" s="1" t="s">
        <v>36</v>
      </c>
      <c r="G28" s="1"/>
      <c r="H28" s="2">
        <v>2000</v>
      </c>
      <c r="I28" s="2"/>
      <c r="J28" s="4">
        <v>621.34</v>
      </c>
      <c r="K28" s="18">
        <v>672.56</v>
      </c>
      <c r="L28" s="18">
        <v>486.65</v>
      </c>
      <c r="M28" s="18">
        <v>741.38</v>
      </c>
      <c r="N28" s="18">
        <v>985.72</v>
      </c>
      <c r="O28" s="2">
        <v>487.33</v>
      </c>
      <c r="P28" s="18">
        <v>127.11</v>
      </c>
      <c r="Q28" s="36">
        <v>6982</v>
      </c>
      <c r="R28" s="2">
        <v>2820.22</v>
      </c>
      <c r="S28" s="2"/>
      <c r="T28" s="2"/>
      <c r="U28" s="2"/>
      <c r="V28" s="4">
        <v>621.34</v>
      </c>
      <c r="W28" s="18">
        <v>672.56</v>
      </c>
      <c r="X28" s="18">
        <v>486.65</v>
      </c>
      <c r="Y28" s="18">
        <v>741.38</v>
      </c>
      <c r="Z28" s="18">
        <v>985.72</v>
      </c>
      <c r="AA28" s="2">
        <v>487.33</v>
      </c>
      <c r="AB28" s="36">
        <v>127.11</v>
      </c>
      <c r="AC28" s="18">
        <v>6982</v>
      </c>
      <c r="AD28" s="2">
        <v>2820.22</v>
      </c>
      <c r="AE28" s="2"/>
      <c r="AF28" s="2"/>
      <c r="AG28" s="4"/>
      <c r="AH28" s="2">
        <v>18000</v>
      </c>
      <c r="AI28" s="2">
        <f t="shared" si="0"/>
        <v>20000</v>
      </c>
      <c r="AJ28" s="2">
        <f t="shared" si="1"/>
        <v>13924.31</v>
      </c>
      <c r="AK28" s="2">
        <f t="shared" si="2"/>
        <v>13924.31</v>
      </c>
      <c r="AL28" s="2">
        <f t="shared" si="3"/>
        <v>6075.6900000000005</v>
      </c>
      <c r="AM28" s="2">
        <f t="shared" si="4"/>
        <v>0</v>
      </c>
      <c r="AN28" s="2">
        <f t="shared" si="5"/>
        <v>6075.6900000000005</v>
      </c>
    </row>
    <row r="29" spans="1:40" ht="31.5" customHeight="1" x14ac:dyDescent="0.25">
      <c r="A29" s="55">
        <v>22</v>
      </c>
      <c r="B29" s="11" t="s">
        <v>56</v>
      </c>
      <c r="C29" s="6" t="s">
        <v>100</v>
      </c>
      <c r="D29" s="6" t="s">
        <v>98</v>
      </c>
      <c r="E29" s="1" t="s">
        <v>99</v>
      </c>
      <c r="F29" s="1" t="s">
        <v>36</v>
      </c>
      <c r="G29" s="1"/>
      <c r="H29" s="2">
        <v>8001</v>
      </c>
      <c r="I29" s="2"/>
      <c r="J29" s="2">
        <v>8000</v>
      </c>
      <c r="K29" s="4">
        <v>8000</v>
      </c>
      <c r="L29" s="2">
        <v>8000</v>
      </c>
      <c r="M29" s="22">
        <v>8000</v>
      </c>
      <c r="N29" s="41"/>
      <c r="O29" s="2">
        <f>7900+8000</f>
        <v>15900</v>
      </c>
      <c r="P29" s="2"/>
      <c r="Q29" s="2">
        <f>8000+8000</f>
        <v>16000</v>
      </c>
      <c r="R29" s="2">
        <v>8000</v>
      </c>
      <c r="S29" s="3">
        <v>8000</v>
      </c>
      <c r="T29" s="2"/>
      <c r="U29" s="2"/>
      <c r="V29" s="2">
        <f>7616+384</f>
        <v>8000</v>
      </c>
      <c r="W29" s="4">
        <f>7616+384</f>
        <v>8000</v>
      </c>
      <c r="X29" s="2">
        <f>7616+384</f>
        <v>8000</v>
      </c>
      <c r="Y29" s="22">
        <f>7616+384</f>
        <v>8000</v>
      </c>
      <c r="Z29" s="41"/>
      <c r="AA29" s="2">
        <f>7520.8+7616+379.2+384</f>
        <v>15900</v>
      </c>
      <c r="AB29" s="2"/>
      <c r="AC29" s="2">
        <f>8000+8000</f>
        <v>16000</v>
      </c>
      <c r="AD29" s="2">
        <v>8000</v>
      </c>
      <c r="AE29" s="3">
        <v>8000</v>
      </c>
      <c r="AF29" s="2"/>
      <c r="AG29" s="4"/>
      <c r="AH29" s="2">
        <v>80000</v>
      </c>
      <c r="AI29" s="2">
        <f t="shared" si="0"/>
        <v>88001</v>
      </c>
      <c r="AJ29" s="2">
        <f t="shared" si="1"/>
        <v>79900</v>
      </c>
      <c r="AK29" s="2">
        <f t="shared" si="2"/>
        <v>79900</v>
      </c>
      <c r="AL29" s="2">
        <f t="shared" si="3"/>
        <v>8101</v>
      </c>
      <c r="AM29" s="2">
        <f t="shared" si="4"/>
        <v>0</v>
      </c>
      <c r="AN29" s="2">
        <f t="shared" si="5"/>
        <v>8101</v>
      </c>
    </row>
    <row r="30" spans="1:40" ht="31.5" customHeight="1" x14ac:dyDescent="0.25">
      <c r="A30" s="55">
        <v>23</v>
      </c>
      <c r="B30" s="11" t="s">
        <v>56</v>
      </c>
      <c r="C30" s="38" t="s">
        <v>103</v>
      </c>
      <c r="D30" s="15" t="s">
        <v>101</v>
      </c>
      <c r="E30" s="1" t="s">
        <v>102</v>
      </c>
      <c r="F30" s="1" t="s">
        <v>36</v>
      </c>
      <c r="G30" s="1"/>
      <c r="H30" s="2">
        <v>15048</v>
      </c>
      <c r="I30" s="2"/>
      <c r="J30" s="4">
        <f>15047.2+15047.2</f>
        <v>30094.400000000001</v>
      </c>
      <c r="K30" s="2">
        <v>15047.2</v>
      </c>
      <c r="L30" s="2"/>
      <c r="M30" s="2">
        <f>12037.76+15047.2</f>
        <v>27084.959999999999</v>
      </c>
      <c r="N30" s="2"/>
      <c r="O30" s="2">
        <v>12037.76</v>
      </c>
      <c r="P30" s="2">
        <v>12037.76</v>
      </c>
      <c r="Q30" s="2">
        <v>12037.76</v>
      </c>
      <c r="R30" s="2">
        <v>12037.76</v>
      </c>
      <c r="S30" s="3">
        <v>12037.76</v>
      </c>
      <c r="T30" s="2"/>
      <c r="U30" s="2"/>
      <c r="V30" s="4">
        <f>14114.29+14114.29+932.91+932.91</f>
        <v>30094.400000000001</v>
      </c>
      <c r="W30" s="2">
        <f>14114.29+932.91</f>
        <v>15047.2</v>
      </c>
      <c r="X30" s="2"/>
      <c r="Y30" s="2">
        <f>11324.83+712.93</f>
        <v>12037.76</v>
      </c>
      <c r="Z30" s="2">
        <f>14114.29+932.91</f>
        <v>15047.2</v>
      </c>
      <c r="AA30" s="2">
        <f>11324.83+712.93</f>
        <v>12037.76</v>
      </c>
      <c r="AB30" s="2">
        <f>11324.83+712.93</f>
        <v>12037.76</v>
      </c>
      <c r="AC30" s="2">
        <f>115.79+11209.04+712.93</f>
        <v>12037.760000000002</v>
      </c>
      <c r="AD30" s="2">
        <f>11324.83+712.93</f>
        <v>12037.76</v>
      </c>
      <c r="AE30" s="3">
        <f>11324.83+712.93</f>
        <v>12037.76</v>
      </c>
      <c r="AF30" s="2"/>
      <c r="AG30" s="44"/>
      <c r="AH30" s="2">
        <v>135217</v>
      </c>
      <c r="AI30" s="2">
        <f t="shared" si="0"/>
        <v>150265</v>
      </c>
      <c r="AJ30" s="2">
        <f t="shared" si="1"/>
        <v>132415.35999999999</v>
      </c>
      <c r="AK30" s="2">
        <f t="shared" si="2"/>
        <v>132415.35999999999</v>
      </c>
      <c r="AL30" s="2">
        <f t="shared" si="3"/>
        <v>17849.640000000014</v>
      </c>
      <c r="AM30" s="2">
        <f t="shared" si="4"/>
        <v>0</v>
      </c>
      <c r="AN30" s="2">
        <f t="shared" si="5"/>
        <v>17849.640000000014</v>
      </c>
    </row>
    <row r="31" spans="1:40" ht="31.5" customHeight="1" x14ac:dyDescent="0.25">
      <c r="A31" s="55">
        <v>24</v>
      </c>
      <c r="B31" s="11" t="s">
        <v>56</v>
      </c>
      <c r="C31" s="28" t="s">
        <v>59</v>
      </c>
      <c r="D31" s="6" t="s">
        <v>104</v>
      </c>
      <c r="E31" s="1" t="s">
        <v>105</v>
      </c>
      <c r="F31" s="1" t="s">
        <v>36</v>
      </c>
      <c r="G31" s="1"/>
      <c r="H31" s="4">
        <v>986</v>
      </c>
      <c r="I31" s="2"/>
      <c r="J31" s="4">
        <v>1450</v>
      </c>
      <c r="K31" s="2">
        <v>1450</v>
      </c>
      <c r="L31" s="2">
        <v>1450</v>
      </c>
      <c r="M31" s="2">
        <v>1450</v>
      </c>
      <c r="N31" s="2">
        <v>1450</v>
      </c>
      <c r="O31" s="2">
        <v>1450</v>
      </c>
      <c r="P31" s="2">
        <v>1450</v>
      </c>
      <c r="Q31" s="2">
        <v>1450</v>
      </c>
      <c r="R31" s="2">
        <v>1450</v>
      </c>
      <c r="S31" s="3">
        <v>1450</v>
      </c>
      <c r="T31" s="2"/>
      <c r="U31" s="2"/>
      <c r="V31" s="34">
        <f t="shared" ref="V31:AC31" si="7">1380.4+69.6</f>
        <v>1450</v>
      </c>
      <c r="W31" s="41">
        <f t="shared" si="7"/>
        <v>1450</v>
      </c>
      <c r="X31" s="41">
        <f t="shared" si="7"/>
        <v>1450</v>
      </c>
      <c r="Y31" s="41">
        <f t="shared" si="7"/>
        <v>1450</v>
      </c>
      <c r="Z31" s="18">
        <f t="shared" si="7"/>
        <v>1450</v>
      </c>
      <c r="AA31" s="2">
        <f t="shared" si="7"/>
        <v>1450</v>
      </c>
      <c r="AB31" s="2">
        <f t="shared" si="7"/>
        <v>1450</v>
      </c>
      <c r="AC31" s="2">
        <f t="shared" si="7"/>
        <v>1450</v>
      </c>
      <c r="AD31" s="2">
        <f>1380.4+69.6</f>
        <v>1450</v>
      </c>
      <c r="AE31" s="3">
        <f>1380.4+69.6</f>
        <v>1450</v>
      </c>
      <c r="AF31" s="2"/>
      <c r="AG31" s="4"/>
      <c r="AH31" s="2">
        <v>15170</v>
      </c>
      <c r="AI31" s="2">
        <f t="shared" si="0"/>
        <v>16156</v>
      </c>
      <c r="AJ31" s="2">
        <f t="shared" si="1"/>
        <v>14500</v>
      </c>
      <c r="AK31" s="2">
        <f t="shared" si="2"/>
        <v>14500</v>
      </c>
      <c r="AL31" s="2">
        <f t="shared" si="3"/>
        <v>1656</v>
      </c>
      <c r="AM31" s="2">
        <f t="shared" si="4"/>
        <v>0</v>
      </c>
      <c r="AN31" s="2">
        <f t="shared" si="5"/>
        <v>1656</v>
      </c>
    </row>
    <row r="32" spans="1:40" ht="31.5" customHeight="1" x14ac:dyDescent="0.25">
      <c r="A32" s="55">
        <v>25</v>
      </c>
      <c r="B32" s="11" t="s">
        <v>56</v>
      </c>
      <c r="C32" s="31" t="s">
        <v>88</v>
      </c>
      <c r="D32" s="6" t="s">
        <v>106</v>
      </c>
      <c r="E32" s="1" t="s">
        <v>107</v>
      </c>
      <c r="F32" s="1" t="s">
        <v>36</v>
      </c>
      <c r="G32" s="1"/>
      <c r="H32" s="2">
        <v>3451</v>
      </c>
      <c r="I32" s="52"/>
      <c r="J32" s="4">
        <v>3335</v>
      </c>
      <c r="K32" s="4">
        <v>3450</v>
      </c>
      <c r="L32" s="52">
        <v>3450</v>
      </c>
      <c r="M32" s="2">
        <v>3450</v>
      </c>
      <c r="N32" s="2"/>
      <c r="O32" s="22">
        <f>3450+3450</f>
        <v>6900</v>
      </c>
      <c r="P32" s="2">
        <v>3450</v>
      </c>
      <c r="Q32" s="2">
        <v>3450</v>
      </c>
      <c r="R32" s="2">
        <v>3450</v>
      </c>
      <c r="S32" s="3"/>
      <c r="T32" s="2"/>
      <c r="U32" s="52"/>
      <c r="V32" s="4">
        <f>3174.92+160.08</f>
        <v>3335</v>
      </c>
      <c r="W32" s="4">
        <f>3284.4+165.6</f>
        <v>3450</v>
      </c>
      <c r="X32" s="52">
        <f>3284.4+165.6</f>
        <v>3450</v>
      </c>
      <c r="Y32" s="2">
        <f>3284.4+165.6</f>
        <v>3450</v>
      </c>
      <c r="Z32" s="2"/>
      <c r="AA32" s="22">
        <f>3284.4+3284.4+165.6+165.6</f>
        <v>6900.0000000000009</v>
      </c>
      <c r="AB32" s="2">
        <f>3284.4+165.6</f>
        <v>3450</v>
      </c>
      <c r="AC32" s="2">
        <f>3284.4+165.6</f>
        <v>3450</v>
      </c>
      <c r="AD32" s="2">
        <f>3284.4+165.6</f>
        <v>3450</v>
      </c>
      <c r="AE32" s="3"/>
      <c r="AF32" s="2"/>
      <c r="AG32" s="4"/>
      <c r="AH32" s="2">
        <v>31900</v>
      </c>
      <c r="AI32" s="2">
        <f t="shared" si="0"/>
        <v>35351</v>
      </c>
      <c r="AJ32" s="2">
        <f t="shared" si="1"/>
        <v>30935</v>
      </c>
      <c r="AK32" s="2">
        <f t="shared" si="2"/>
        <v>30935</v>
      </c>
      <c r="AL32" s="2">
        <f t="shared" si="3"/>
        <v>4416</v>
      </c>
      <c r="AM32" s="2">
        <f t="shared" si="4"/>
        <v>0</v>
      </c>
      <c r="AN32" s="2">
        <f t="shared" si="5"/>
        <v>4416</v>
      </c>
    </row>
    <row r="33" spans="1:40" ht="31.5" customHeight="1" x14ac:dyDescent="0.25">
      <c r="A33" s="55">
        <v>26</v>
      </c>
      <c r="B33" s="11" t="s">
        <v>26</v>
      </c>
      <c r="C33" s="28" t="s">
        <v>94</v>
      </c>
      <c r="D33" s="6" t="s">
        <v>108</v>
      </c>
      <c r="E33" s="1" t="s">
        <v>109</v>
      </c>
      <c r="F33" s="1" t="s">
        <v>36</v>
      </c>
      <c r="G33" s="1"/>
      <c r="H33" s="2">
        <v>900</v>
      </c>
      <c r="I33" s="2">
        <v>900</v>
      </c>
      <c r="J33" s="4"/>
      <c r="K33" s="2"/>
      <c r="L33" s="2"/>
      <c r="M33" s="2"/>
      <c r="N33" s="2"/>
      <c r="O33" s="2"/>
      <c r="P33" s="2"/>
      <c r="Q33" s="2"/>
      <c r="R33" s="2"/>
      <c r="S33" s="3"/>
      <c r="T33" s="2"/>
      <c r="U33" s="2">
        <v>900</v>
      </c>
      <c r="V33" s="4"/>
      <c r="W33" s="2"/>
      <c r="X33" s="2"/>
      <c r="Y33" s="2"/>
      <c r="Z33" s="2"/>
      <c r="AA33" s="2"/>
      <c r="AB33" s="2"/>
      <c r="AC33" s="2"/>
      <c r="AD33" s="2"/>
      <c r="AE33" s="3"/>
      <c r="AF33" s="3"/>
      <c r="AG33" s="4"/>
      <c r="AH33" s="2"/>
      <c r="AI33" s="2">
        <f t="shared" si="0"/>
        <v>900</v>
      </c>
      <c r="AJ33" s="2">
        <f t="shared" si="1"/>
        <v>900</v>
      </c>
      <c r="AK33" s="2">
        <f t="shared" si="2"/>
        <v>900</v>
      </c>
      <c r="AL33" s="2">
        <f t="shared" si="3"/>
        <v>0</v>
      </c>
      <c r="AM33" s="2">
        <f t="shared" si="4"/>
        <v>0</v>
      </c>
      <c r="AN33" s="2">
        <f t="shared" si="5"/>
        <v>0</v>
      </c>
    </row>
    <row r="34" spans="1:40" ht="31.5" customHeight="1" x14ac:dyDescent="0.25">
      <c r="A34" s="55">
        <v>27</v>
      </c>
      <c r="B34" s="11" t="s">
        <v>56</v>
      </c>
      <c r="C34" s="15" t="s">
        <v>110</v>
      </c>
      <c r="D34" s="15" t="s">
        <v>111</v>
      </c>
      <c r="E34" s="1"/>
      <c r="F34" s="1" t="s">
        <v>112</v>
      </c>
      <c r="G34" s="1"/>
      <c r="H34" s="2">
        <v>1</v>
      </c>
      <c r="I34" s="2">
        <f>18109606.42+786660.34+2532134.11+95083.9</f>
        <v>21523484.77</v>
      </c>
      <c r="J34" s="18">
        <v>25931722.5</v>
      </c>
      <c r="K34" s="18">
        <v>21311926.550000001</v>
      </c>
      <c r="L34" s="2">
        <f>18483435.3+733606.71+2576541.06+75665.08</f>
        <v>21869248.149999999</v>
      </c>
      <c r="M34" s="2">
        <f>18404795.14+818438.52+2583592.76+62963.25</f>
        <v>21869789.670000002</v>
      </c>
      <c r="N34" s="2">
        <f>18150164.66+876149.98+2623393.88+75045.36</f>
        <v>21724753.879999999</v>
      </c>
      <c r="O34" s="2">
        <f>18372999.69+751270.06+2656578.94+80463.3</f>
        <v>21861311.990000002</v>
      </c>
      <c r="P34" s="2">
        <f>2850974.25+95110.89+20855267.01+818116.22</f>
        <v>24619468.370000001</v>
      </c>
      <c r="Q34" s="2">
        <f>20222261.36+840018.72+2856625+69755.7</f>
        <v>23988660.779999997</v>
      </c>
      <c r="R34" s="2">
        <f>2862824.6+92080.25+20126671.64+813861.3</f>
        <v>23895437.790000003</v>
      </c>
      <c r="S34" s="3"/>
      <c r="T34" s="2"/>
      <c r="U34" s="2">
        <f>9547468.53+13340484.08-713.63-892.57-1354.5-648.05-9.02-50-1501344.05-635.77-9.02</f>
        <v>21382296</v>
      </c>
      <c r="V34" s="4">
        <f>13106324.84+12799385.83-585.18-713.63-713.63-635.77</f>
        <v>25903062.460000005</v>
      </c>
      <c r="W34" s="2">
        <f>8838722.35+13556167.53-1014287.52-50-585.18-0.47-9.02-1417.56-648.05-713.16</f>
        <v>21377178.920000002</v>
      </c>
      <c r="X34" s="2">
        <f>8245477.22+13579692.41-821.64-585.18-4188.75-972.3</f>
        <v>21818601.759999998</v>
      </c>
      <c r="Y34" s="2">
        <f>8386033.36+13531616.66-50-9.02-649.33-50</f>
        <v>21916891.670000002</v>
      </c>
      <c r="Z34" s="2">
        <f>14456101.08+13662539.58-0.03-6422047.05</f>
        <v>21696593.579999998</v>
      </c>
      <c r="AA34" s="2">
        <f>8019080.8+13775473.49-3788.62-3788.62</f>
        <v>21786977.049999997</v>
      </c>
      <c r="AB34" s="2">
        <f>10134148.53+14505951.69-785.02-50-0.95-866.2-9.02-678.89-108.97</f>
        <v>24637601.170000002</v>
      </c>
      <c r="AC34" s="2">
        <f>9419447.64+14616866.03-785.02-50-673.68-9.02</f>
        <v>24034795.950000003</v>
      </c>
      <c r="AD34" s="2">
        <f>17409.53</f>
        <v>17409.53</v>
      </c>
      <c r="AE34" s="3"/>
      <c r="AF34" s="2"/>
      <c r="AG34" s="28"/>
      <c r="AH34" s="2">
        <v>204700366.66</v>
      </c>
      <c r="AI34" s="2">
        <f t="shared" si="0"/>
        <v>204700367.66</v>
      </c>
      <c r="AJ34" s="2">
        <f t="shared" si="1"/>
        <v>228595804.45000002</v>
      </c>
      <c r="AK34" s="2">
        <f t="shared" si="2"/>
        <v>204571408.09</v>
      </c>
      <c r="AL34" s="2">
        <f t="shared" si="3"/>
        <v>128959.56999999285</v>
      </c>
      <c r="AM34" s="2">
        <f t="shared" si="4"/>
        <v>24024396.360000014</v>
      </c>
      <c r="AN34" s="2">
        <f t="shared" si="5"/>
        <v>-23895436.790000021</v>
      </c>
    </row>
    <row r="35" spans="1:40" ht="31.5" customHeight="1" x14ac:dyDescent="0.25">
      <c r="A35" s="55">
        <v>28</v>
      </c>
      <c r="B35" s="1" t="s">
        <v>56</v>
      </c>
      <c r="C35" s="15" t="s">
        <v>110</v>
      </c>
      <c r="D35" s="38" t="s">
        <v>111</v>
      </c>
      <c r="E35" s="1"/>
      <c r="F35" s="1" t="s">
        <v>112</v>
      </c>
      <c r="G35" s="1"/>
      <c r="H35" s="2">
        <v>1</v>
      </c>
      <c r="I35" s="2">
        <f>13611489.07+432818.87</f>
        <v>14044307.939999999</v>
      </c>
      <c r="J35" s="2">
        <f>12987744.04+416993.55</f>
        <v>13404737.59</v>
      </c>
      <c r="K35" s="2">
        <f>12934044.43+387842.57</f>
        <v>13321887</v>
      </c>
      <c r="L35" s="2">
        <f>13014432.73+432714.19</f>
        <v>13447146.92</v>
      </c>
      <c r="M35" s="18">
        <f>12925077.32+486943.88</f>
        <v>13412021.200000001</v>
      </c>
      <c r="N35" s="18">
        <f>12998139.02+419433.61</f>
        <v>13417572.629999999</v>
      </c>
      <c r="O35" s="36">
        <f>12870506.9+343649.51</f>
        <v>13214156.41</v>
      </c>
      <c r="P35" s="2">
        <f>13547087.12+498258.58</f>
        <v>14045345.699999999</v>
      </c>
      <c r="Q35" s="2">
        <f>13477149.15+393239.19</f>
        <v>13870388.34</v>
      </c>
      <c r="R35" s="2"/>
      <c r="S35" s="3"/>
      <c r="T35" s="2"/>
      <c r="U35" s="2">
        <f>9385069.49+4564806</f>
        <v>13949875.49</v>
      </c>
      <c r="V35" s="2">
        <f>10410274.87+4409121.43-4329.08-1370605.56-1702.11</f>
        <v>13442759.549999999</v>
      </c>
      <c r="W35" s="2">
        <f>8958982.78+4412952.9-11796.06</f>
        <v>13360139.619999999</v>
      </c>
      <c r="X35" s="2">
        <f>9028769.85+4432927.98-2407.21-10056.99-7340.35-3992-1330.67-5154.02</f>
        <v>13431416.59</v>
      </c>
      <c r="Y35" s="2">
        <f>8993473.16+4385717.02-713.63-0.47-908.77-0.99</f>
        <v>13377566.319999998</v>
      </c>
      <c r="Z35" s="2">
        <f>8999889.08+4424166.72-2602.77</f>
        <v>13421453.030000001</v>
      </c>
      <c r="AA35" s="2">
        <f>8849406.24+4395313.66-9601.51</f>
        <v>13235118.390000001</v>
      </c>
      <c r="AB35" s="2">
        <f>9453694.81+4582162.78-2967.29</f>
        <v>14032890.300000001</v>
      </c>
      <c r="AC35" s="2">
        <f>9293845.33+4571434.4-4956.58</f>
        <v>13860323.15</v>
      </c>
      <c r="AD35" s="2">
        <v>58544.39</v>
      </c>
      <c r="AE35" s="3"/>
      <c r="AF35" s="2"/>
      <c r="AG35" s="28"/>
      <c r="AH35" s="2">
        <v>122177563.73</v>
      </c>
      <c r="AI35" s="2">
        <f t="shared" si="0"/>
        <v>122177564.73</v>
      </c>
      <c r="AJ35" s="2">
        <f t="shared" si="1"/>
        <v>122177563.73</v>
      </c>
      <c r="AK35" s="2">
        <f t="shared" si="2"/>
        <v>122170086.83</v>
      </c>
      <c r="AL35" s="2">
        <f t="shared" si="3"/>
        <v>7477.9000000059605</v>
      </c>
      <c r="AM35" s="2">
        <f t="shared" si="4"/>
        <v>7476.9000000059605</v>
      </c>
      <c r="AN35" s="2">
        <f t="shared" si="5"/>
        <v>1</v>
      </c>
    </row>
    <row r="36" spans="1:40" ht="31.5" customHeight="1" x14ac:dyDescent="0.25">
      <c r="A36" s="66">
        <v>29</v>
      </c>
      <c r="B36" s="11" t="s">
        <v>56</v>
      </c>
      <c r="C36" s="6" t="s">
        <v>110</v>
      </c>
      <c r="D36" s="6" t="s">
        <v>111</v>
      </c>
      <c r="E36" s="1"/>
      <c r="F36" s="1" t="s">
        <v>113</v>
      </c>
      <c r="G36" s="1"/>
      <c r="H36" s="2">
        <v>1</v>
      </c>
      <c r="I36" s="18">
        <f>285968.48+15024.48+2019720.43+86655.88</f>
        <v>2407369.2699999996</v>
      </c>
      <c r="J36" s="4">
        <f>285968.48+4789.05+3108414.9+93280.99</f>
        <v>3492453.42</v>
      </c>
      <c r="K36" s="2">
        <f>2845315.47+285968.48+9587.54</f>
        <v>3140871.49</v>
      </c>
      <c r="L36" s="2">
        <f>282076.42+6324.49+2131207.75+89285.43</f>
        <v>2508894.0900000003</v>
      </c>
      <c r="M36" s="2">
        <f>2806138.43+86838.67+282076.42+2328.05</f>
        <v>3177381.57</v>
      </c>
      <c r="N36" s="2">
        <f>2084489.82+88893.07+282076.42+11859.12</f>
        <v>2467318.4300000002</v>
      </c>
      <c r="O36" s="2">
        <f>2304421.09+100761.63+282076.42+16247.69</f>
        <v>2703506.8299999996</v>
      </c>
      <c r="P36" s="2">
        <f>2531970.63+89438.54+299780.1+10500.14</f>
        <v>2931689.41</v>
      </c>
      <c r="Q36" s="2">
        <f>311088.63+1976.89+2487702.37+89691.88</f>
        <v>2890459.77</v>
      </c>
      <c r="R36" s="2"/>
      <c r="S36" s="3"/>
      <c r="T36" s="2"/>
      <c r="U36" s="18">
        <f>181392.53+635872.23+1590104.51</f>
        <v>2407369.27</v>
      </c>
      <c r="V36" s="4">
        <f>1878876.57+151538.16+1462038.69</f>
        <v>3492453.42</v>
      </c>
      <c r="W36" s="2">
        <f>1200234.39+98897.79+177159.61+4174.42+1659303.07-32.79</f>
        <v>3139736.49</v>
      </c>
      <c r="X36" s="2">
        <f>171671.64+677775.35+1659447.1-424.18</f>
        <v>2508469.9099999997</v>
      </c>
      <c r="Y36" s="2">
        <f>171746.44+1352920.24+424.18+1649690.95</f>
        <v>3174781.8099999996</v>
      </c>
      <c r="Z36" s="2">
        <f>181662.37+4185.76+619043.43+1659086.24-32.79</f>
        <v>2463945.0099999998</v>
      </c>
      <c r="AA36" s="2">
        <f>3307.84+187761.57+787530.77+7106.72+3788.62+3788.62+1721107.77-3788.62</f>
        <v>2710603.29</v>
      </c>
      <c r="AB36" s="2">
        <f>192998.86+4613.61+910433.64+1818701.02-3788.62-32.79</f>
        <v>2922925.7199999997</v>
      </c>
      <c r="AC36" s="2">
        <f>190015.35+838587.25+4909.49+1836890.17</f>
        <v>2870402.26</v>
      </c>
      <c r="AD36" s="2">
        <f>24967</f>
        <v>24967</v>
      </c>
      <c r="AE36" s="3"/>
      <c r="AF36" s="2"/>
      <c r="AG36" s="28"/>
      <c r="AH36" s="2">
        <v>25719944.280000001</v>
      </c>
      <c r="AI36" s="2">
        <f t="shared" si="0"/>
        <v>25719945.280000001</v>
      </c>
      <c r="AJ36" s="2">
        <f t="shared" si="1"/>
        <v>25719944.279999997</v>
      </c>
      <c r="AK36" s="2">
        <f t="shared" si="2"/>
        <v>25715654.179999992</v>
      </c>
      <c r="AL36" s="2">
        <f t="shared" si="3"/>
        <v>4291.1000000089407</v>
      </c>
      <c r="AM36" s="2">
        <f t="shared" si="4"/>
        <v>4290.1000000052154</v>
      </c>
      <c r="AN36" s="2">
        <f t="shared" si="5"/>
        <v>1.0000000037252903</v>
      </c>
    </row>
    <row r="37" spans="1:40" ht="31.5" customHeight="1" x14ac:dyDescent="0.25">
      <c r="A37" s="55">
        <v>30</v>
      </c>
      <c r="B37" s="11" t="s">
        <v>56</v>
      </c>
      <c r="C37" s="38" t="s">
        <v>110</v>
      </c>
      <c r="D37" s="15" t="s">
        <v>111</v>
      </c>
      <c r="E37" s="1"/>
      <c r="F37" s="1" t="s">
        <v>113</v>
      </c>
      <c r="G37" s="1"/>
      <c r="H37" s="2">
        <v>1</v>
      </c>
      <c r="I37" s="18">
        <f>638167.1+18636.11</f>
        <v>656803.21</v>
      </c>
      <c r="J37" s="4"/>
      <c r="K37" s="2"/>
      <c r="L37" s="2">
        <f>640642.96+22041.61</f>
        <v>662684.56999999995</v>
      </c>
      <c r="M37" s="2"/>
      <c r="N37" s="2">
        <f>640130.73+14839.58</f>
        <v>654970.30999999994</v>
      </c>
      <c r="O37" s="2">
        <f>628016.72+24446.48</f>
        <v>652463.19999999995</v>
      </c>
      <c r="P37" s="2">
        <f>648055.42+31104.51</f>
        <v>679159.93</v>
      </c>
      <c r="Q37" s="2"/>
      <c r="R37" s="2"/>
      <c r="S37" s="3"/>
      <c r="T37" s="2"/>
      <c r="U37" s="36">
        <f>441021.12+66228.21+348.6+22723.89+46723.09+75.27+6109.25+2039.36+91.21+3115.11+41.57+416+336+63538.11+3482.42+514</f>
        <v>656803.20999999985</v>
      </c>
      <c r="V37" s="37"/>
      <c r="W37" s="2"/>
      <c r="X37" s="2">
        <f>443532.54+70910.87+351.54+23145.93+49823.88+75.27+3046.17+91.21+3115.11+41.57+416+336+67280.48+518</f>
        <v>662684.56999999995</v>
      </c>
      <c r="Y37" s="2"/>
      <c r="Z37" s="2">
        <f>421215.31+4789.68+5740.26+65869.7+351.54+23943.37+49472.54+75.27+6876.84+1453.71+91.21+3115.11+41.57+416+336+65941.81+1395.52+522</f>
        <v>651647.43999999994</v>
      </c>
      <c r="AA37" s="2">
        <f>3222.87+425016.1+4789.68+5740.26+100+65869.7+351.54+23639.03+49632.75+75.27+6876.84+91.21+3115.11+41.9+416+336+65941.81+530</f>
        <v>655786.06999999983</v>
      </c>
      <c r="AB37" s="2">
        <f>4789.68+5995.26+437769.65+70250.86+351.54+24759.47+47537.79+75.27+6876.84+865.85+91.21+3115.11+41.9+416+336+68107.64+1380.19+518</f>
        <v>673278.25999999989</v>
      </c>
      <c r="AC37" s="2"/>
      <c r="AD37" s="2"/>
      <c r="AE37" s="3"/>
      <c r="AF37" s="2"/>
      <c r="AG37" s="28"/>
      <c r="AH37" s="2">
        <v>3306081.22</v>
      </c>
      <c r="AI37" s="2">
        <f t="shared" si="0"/>
        <v>3306082.22</v>
      </c>
      <c r="AJ37" s="2">
        <f t="shared" si="1"/>
        <v>3306081.22</v>
      </c>
      <c r="AK37" s="2">
        <f t="shared" si="2"/>
        <v>3300199.5499999993</v>
      </c>
      <c r="AL37" s="2">
        <f t="shared" si="3"/>
        <v>5882.6700000008568</v>
      </c>
      <c r="AM37" s="2">
        <f t="shared" si="4"/>
        <v>5881.6700000008568</v>
      </c>
      <c r="AN37" s="2">
        <f t="shared" si="5"/>
        <v>1</v>
      </c>
    </row>
    <row r="38" spans="1:40" ht="31.5" customHeight="1" x14ac:dyDescent="0.25">
      <c r="A38" s="55">
        <v>31</v>
      </c>
      <c r="B38" s="11" t="s">
        <v>56</v>
      </c>
      <c r="C38" s="6" t="s">
        <v>110</v>
      </c>
      <c r="D38" s="6" t="s">
        <v>111</v>
      </c>
      <c r="E38" s="1"/>
      <c r="F38" s="1" t="s">
        <v>67</v>
      </c>
      <c r="G38" s="1"/>
      <c r="H38" s="2">
        <v>1</v>
      </c>
      <c r="I38" s="18">
        <v>1220700</v>
      </c>
      <c r="J38" s="4">
        <v>241325.31</v>
      </c>
      <c r="K38" s="52">
        <f>537847.39+88752.97</f>
        <v>626600.36</v>
      </c>
      <c r="L38" s="2">
        <v>1251955.1100000001</v>
      </c>
      <c r="M38" s="2">
        <v>581639.73</v>
      </c>
      <c r="N38" s="2">
        <v>1336685.08</v>
      </c>
      <c r="O38" s="2">
        <v>1286900.99</v>
      </c>
      <c r="P38" s="2">
        <v>1292041.21</v>
      </c>
      <c r="Q38" s="2">
        <v>1352825.41</v>
      </c>
      <c r="R38" s="2">
        <v>1393250.43</v>
      </c>
      <c r="S38" s="3"/>
      <c r="T38" s="2"/>
      <c r="U38" s="18">
        <f>1166802.62+4174.42+2391.69-32.79-100</f>
        <v>1173235.94</v>
      </c>
      <c r="V38" s="4">
        <f>15034.38+19331.95+5002.62+2923.94+4001.75+100+4174.42+38975.1+20844.12+843.96+117501.16+59830.51-843.96-32.79</f>
        <v>287687.16000000003</v>
      </c>
      <c r="W38" s="52">
        <f>627702.57</f>
        <v>627702.56999999995</v>
      </c>
      <c r="X38" s="2">
        <f>7652.93+1200000+44302.18-2923.94-100</f>
        <v>1248931.17</v>
      </c>
      <c r="Y38" s="2">
        <f>4185.76+580477.91-32.79</f>
        <v>584630.88</v>
      </c>
      <c r="Z38" s="2">
        <v>1336717.8700000001</v>
      </c>
      <c r="AA38" s="2">
        <f>4185.76+1282715.23-32.79</f>
        <v>1286868.2</v>
      </c>
      <c r="AB38" s="2">
        <v>1292074</v>
      </c>
      <c r="AC38" s="2">
        <f>11088.73+1341736.68-32.79</f>
        <v>1352792.6199999999</v>
      </c>
      <c r="AD38" s="2">
        <v>1393283.22</v>
      </c>
      <c r="AE38" s="3"/>
      <c r="AF38" s="2"/>
      <c r="AG38" s="4">
        <v>1352825.41</v>
      </c>
      <c r="AH38" s="2">
        <v>11936749.039999999</v>
      </c>
      <c r="AI38" s="2">
        <f t="shared" si="0"/>
        <v>10583924.629999999</v>
      </c>
      <c r="AJ38" s="2">
        <f t="shared" si="1"/>
        <v>10583923.629999999</v>
      </c>
      <c r="AK38" s="2">
        <f t="shared" si="2"/>
        <v>10583923.630000001</v>
      </c>
      <c r="AL38" s="2">
        <f t="shared" si="3"/>
        <v>0.99999999813735485</v>
      </c>
      <c r="AM38" s="2">
        <f t="shared" si="4"/>
        <v>-1.862645149230957E-9</v>
      </c>
      <c r="AN38" s="2">
        <f t="shared" si="5"/>
        <v>1</v>
      </c>
    </row>
    <row r="39" spans="1:40" ht="31.5" customHeight="1" x14ac:dyDescent="0.25">
      <c r="A39" s="55">
        <v>32</v>
      </c>
      <c r="B39" s="11" t="s">
        <v>56</v>
      </c>
      <c r="C39" s="6" t="s">
        <v>110</v>
      </c>
      <c r="D39" s="6" t="s">
        <v>111</v>
      </c>
      <c r="E39" s="1"/>
      <c r="F39" s="1" t="s">
        <v>66</v>
      </c>
      <c r="G39" s="1"/>
      <c r="H39" s="2">
        <v>1</v>
      </c>
      <c r="I39" s="18">
        <v>8805900</v>
      </c>
      <c r="J39" s="4">
        <v>4453951.88</v>
      </c>
      <c r="K39" s="2">
        <f>8507963.59+724663.76</f>
        <v>9232627.3499999996</v>
      </c>
      <c r="L39" s="2">
        <v>8788967.9399999995</v>
      </c>
      <c r="M39" s="2">
        <v>8924215.7699999996</v>
      </c>
      <c r="N39" s="2">
        <v>9436344.7100000009</v>
      </c>
      <c r="O39" s="2">
        <v>9436344.7100000009</v>
      </c>
      <c r="P39" s="2">
        <v>8733866.8599999994</v>
      </c>
      <c r="Q39" s="2">
        <v>9578032.5899999999</v>
      </c>
      <c r="R39" s="2">
        <v>9634657.0199999996</v>
      </c>
      <c r="S39" s="3"/>
      <c r="T39" s="2"/>
      <c r="U39" s="18">
        <f>7712912.34+999389.44+22049.2+22143.51+3885.04+15414.48-15414.48</f>
        <v>8760379.5299999975</v>
      </c>
      <c r="V39" s="4">
        <f>26251.37+15291.43+1155+3709090.45+86808.83+2936.42+657938.85-9.02-648.05-50</f>
        <v>4498765.28</v>
      </c>
      <c r="W39" s="2">
        <f>1033166.15+8100168.27+1700+28428.55+40635.23+27398.7-40635.23</f>
        <v>9190861.6699999999</v>
      </c>
      <c r="X39" s="2">
        <f>6858.56+24944.57+2220.24+5888.17+1023687.31+80459.32+7681494.35-6858.56-648.05-9.02-2009.54-1155-32.79-50</f>
        <v>8814789.5600000005</v>
      </c>
      <c r="Y39" s="2">
        <v>8934978.7300000004</v>
      </c>
      <c r="Z39" s="2">
        <f>90937.68+9345407.03-9.02-649.33-50</f>
        <v>9435636.3599999994</v>
      </c>
      <c r="AA39" s="2">
        <f>90174.04+9352767.19-600-600-9.02-649.33-744.11-50-744.11</f>
        <v>9439544.6600000001</v>
      </c>
      <c r="AB39" s="2">
        <f>1099373.93+7637889.5</f>
        <v>8737263.4299999997</v>
      </c>
      <c r="AC39" s="2">
        <v>9578032.5899999999</v>
      </c>
      <c r="AD39" s="2">
        <f>218710.26+9417594.09-1239.9-3917.27-50-673.68-950.05-785.02-407.43</f>
        <v>9628281</v>
      </c>
      <c r="AE39" s="3"/>
      <c r="AF39" s="2"/>
      <c r="AG39" s="28"/>
      <c r="AH39" s="2">
        <v>87024908.829999998</v>
      </c>
      <c r="AI39" s="2">
        <f t="shared" si="0"/>
        <v>87024909.829999998</v>
      </c>
      <c r="AJ39" s="2">
        <f t="shared" si="1"/>
        <v>87024908.829999998</v>
      </c>
      <c r="AK39" s="2">
        <f t="shared" si="2"/>
        <v>87018532.810000002</v>
      </c>
      <c r="AL39" s="2">
        <f t="shared" si="3"/>
        <v>6377.0199999958277</v>
      </c>
      <c r="AM39" s="2">
        <f t="shared" si="4"/>
        <v>6376.0199999958277</v>
      </c>
      <c r="AN39" s="2">
        <f t="shared" si="5"/>
        <v>1</v>
      </c>
    </row>
    <row r="40" spans="1:40" ht="31.5" customHeight="1" x14ac:dyDescent="0.25">
      <c r="A40" s="55">
        <v>33</v>
      </c>
      <c r="B40" s="11" t="s">
        <v>26</v>
      </c>
      <c r="C40" s="15" t="s">
        <v>114</v>
      </c>
      <c r="D40" s="38" t="s">
        <v>115</v>
      </c>
      <c r="E40" s="1" t="s">
        <v>116</v>
      </c>
      <c r="F40" s="1" t="s">
        <v>36</v>
      </c>
      <c r="G40" s="1"/>
      <c r="H40" s="2">
        <v>50</v>
      </c>
      <c r="I40" s="18">
        <v>50</v>
      </c>
      <c r="J40" s="4"/>
      <c r="K40" s="2"/>
      <c r="L40" s="2"/>
      <c r="M40" s="2"/>
      <c r="N40" s="2"/>
      <c r="O40" s="2"/>
      <c r="P40" s="2"/>
      <c r="Q40" s="2"/>
      <c r="R40" s="2"/>
      <c r="S40" s="3"/>
      <c r="T40" s="2"/>
      <c r="U40" s="37">
        <v>50</v>
      </c>
      <c r="V40" s="4"/>
      <c r="W40" s="2"/>
      <c r="X40" s="2"/>
      <c r="Y40" s="2"/>
      <c r="Z40" s="2"/>
      <c r="AA40" s="2"/>
      <c r="AB40" s="2"/>
      <c r="AC40" s="2"/>
      <c r="AD40" s="2"/>
      <c r="AE40" s="3"/>
      <c r="AF40" s="2"/>
      <c r="AG40" s="28"/>
      <c r="AH40" s="2"/>
      <c r="AI40" s="2">
        <f t="shared" si="0"/>
        <v>50</v>
      </c>
      <c r="AJ40" s="2">
        <f t="shared" si="1"/>
        <v>50</v>
      </c>
      <c r="AK40" s="2">
        <f t="shared" si="2"/>
        <v>50</v>
      </c>
      <c r="AL40" s="2">
        <f t="shared" si="3"/>
        <v>0</v>
      </c>
      <c r="AM40" s="2">
        <f t="shared" si="4"/>
        <v>0</v>
      </c>
      <c r="AN40" s="2">
        <f t="shared" si="5"/>
        <v>0</v>
      </c>
    </row>
    <row r="41" spans="1:40" ht="30.75" customHeight="1" x14ac:dyDescent="0.25">
      <c r="A41" s="55">
        <v>34</v>
      </c>
      <c r="B41" s="11" t="s">
        <v>56</v>
      </c>
      <c r="C41" s="10" t="s">
        <v>119</v>
      </c>
      <c r="D41" s="6" t="s">
        <v>117</v>
      </c>
      <c r="E41" s="1" t="s">
        <v>118</v>
      </c>
      <c r="F41" s="1" t="s">
        <v>36</v>
      </c>
      <c r="G41" s="1"/>
      <c r="H41" s="2">
        <v>10000</v>
      </c>
      <c r="I41" s="18">
        <v>2800</v>
      </c>
      <c r="J41" s="4">
        <v>900</v>
      </c>
      <c r="K41" s="2"/>
      <c r="L41" s="2">
        <v>400</v>
      </c>
      <c r="M41" s="2">
        <v>2000</v>
      </c>
      <c r="N41" s="2">
        <v>3100</v>
      </c>
      <c r="O41" s="2">
        <v>3580</v>
      </c>
      <c r="P41" s="2">
        <v>5260</v>
      </c>
      <c r="Q41" s="22">
        <v>3300</v>
      </c>
      <c r="R41" s="2">
        <v>3300</v>
      </c>
      <c r="S41" s="3"/>
      <c r="T41" s="2"/>
      <c r="U41" s="18">
        <f>2447.9+44.1+308</f>
        <v>2800</v>
      </c>
      <c r="V41" s="4">
        <f>801+99</f>
        <v>900</v>
      </c>
      <c r="W41" s="2"/>
      <c r="X41" s="2">
        <f>356+44</f>
        <v>400</v>
      </c>
      <c r="Y41" s="2">
        <f>1780+220</f>
        <v>2000</v>
      </c>
      <c r="Z41" s="2">
        <f>2759+341+37.41+0.08-37.41-0.08</f>
        <v>3100</v>
      </c>
      <c r="AA41" s="2">
        <f>3089.71+96.49+393.8</f>
        <v>3580</v>
      </c>
      <c r="AB41" s="2">
        <f>4290.01+391.39+578.6</f>
        <v>5260.0000000000009</v>
      </c>
      <c r="AC41" s="22">
        <f>2877.89+59.11+363</f>
        <v>3300</v>
      </c>
      <c r="AD41" s="2">
        <f>2890.61+46.39+363</f>
        <v>3300</v>
      </c>
      <c r="AE41" s="3"/>
      <c r="AF41" s="22"/>
      <c r="AG41" s="28"/>
      <c r="AH41" s="2">
        <v>14850</v>
      </c>
      <c r="AI41" s="2">
        <f t="shared" si="0"/>
        <v>24850</v>
      </c>
      <c r="AJ41" s="2">
        <f t="shared" si="1"/>
        <v>24640</v>
      </c>
      <c r="AK41" s="2">
        <f t="shared" si="2"/>
        <v>24640</v>
      </c>
      <c r="AL41" s="2">
        <f t="shared" si="3"/>
        <v>210</v>
      </c>
      <c r="AM41" s="2">
        <f t="shared" si="4"/>
        <v>0</v>
      </c>
      <c r="AN41" s="2">
        <f t="shared" si="5"/>
        <v>210</v>
      </c>
    </row>
    <row r="42" spans="1:40" ht="30.75" customHeight="1" x14ac:dyDescent="0.25">
      <c r="A42" s="55">
        <v>35</v>
      </c>
      <c r="B42" s="11" t="s">
        <v>56</v>
      </c>
      <c r="C42" s="28" t="s">
        <v>119</v>
      </c>
      <c r="D42" s="6" t="s">
        <v>120</v>
      </c>
      <c r="E42" s="1" t="s">
        <v>121</v>
      </c>
      <c r="F42" s="1" t="s">
        <v>36</v>
      </c>
      <c r="G42" s="1"/>
      <c r="H42" s="2">
        <v>10000</v>
      </c>
      <c r="I42" s="18">
        <v>2800</v>
      </c>
      <c r="J42" s="4">
        <v>900</v>
      </c>
      <c r="K42" s="2"/>
      <c r="L42" s="2">
        <v>400</v>
      </c>
      <c r="M42" s="2">
        <v>2000</v>
      </c>
      <c r="N42" s="2">
        <v>3100</v>
      </c>
      <c r="O42" s="2">
        <v>3580</v>
      </c>
      <c r="P42" s="2">
        <v>5260</v>
      </c>
      <c r="Q42" s="2"/>
      <c r="R42" s="2"/>
      <c r="S42" s="3"/>
      <c r="T42" s="2"/>
      <c r="U42" s="18">
        <f>2447.9+44.1+308</f>
        <v>2800</v>
      </c>
      <c r="V42" s="4">
        <f>801+99</f>
        <v>900</v>
      </c>
      <c r="W42" s="2"/>
      <c r="X42" s="2">
        <f>356+44</f>
        <v>400</v>
      </c>
      <c r="Y42" s="2">
        <f>1780+220</f>
        <v>2000</v>
      </c>
      <c r="Z42" s="2">
        <f>3053.5+37.49+341-331.99</f>
        <v>3100</v>
      </c>
      <c r="AA42" s="2">
        <f>3089.71+96.49+393.8</f>
        <v>3580</v>
      </c>
      <c r="AB42" s="2">
        <f>4709.5+550.5</f>
        <v>5260</v>
      </c>
      <c r="AC42" s="2"/>
      <c r="AD42" s="2"/>
      <c r="AE42" s="3"/>
      <c r="AF42" s="2"/>
      <c r="AG42" s="4"/>
      <c r="AH42" s="2">
        <v>9200</v>
      </c>
      <c r="AI42" s="2">
        <f t="shared" si="0"/>
        <v>19200</v>
      </c>
      <c r="AJ42" s="2">
        <f t="shared" si="1"/>
        <v>18040</v>
      </c>
      <c r="AK42" s="2">
        <f t="shared" si="2"/>
        <v>18040</v>
      </c>
      <c r="AL42" s="2">
        <f t="shared" si="3"/>
        <v>1160</v>
      </c>
      <c r="AM42" s="2">
        <f t="shared" si="4"/>
        <v>0</v>
      </c>
      <c r="AN42" s="2">
        <f t="shared" si="5"/>
        <v>1160</v>
      </c>
    </row>
    <row r="43" spans="1:40" ht="30.75" customHeight="1" x14ac:dyDescent="0.25">
      <c r="A43" s="55">
        <v>36</v>
      </c>
      <c r="B43" s="11" t="s">
        <v>56</v>
      </c>
      <c r="C43" s="15" t="s">
        <v>122</v>
      </c>
      <c r="D43" s="38" t="s">
        <v>101</v>
      </c>
      <c r="E43" s="1" t="s">
        <v>102</v>
      </c>
      <c r="F43" s="1" t="s">
        <v>37</v>
      </c>
      <c r="G43" s="1"/>
      <c r="H43" s="2">
        <v>9851</v>
      </c>
      <c r="I43" s="37"/>
      <c r="J43" s="4">
        <v>9850</v>
      </c>
      <c r="K43" s="34">
        <f>13850+11520</f>
        <v>25370</v>
      </c>
      <c r="L43" s="2"/>
      <c r="M43" s="2">
        <v>15850</v>
      </c>
      <c r="N43" s="2">
        <f>11520+15980</f>
        <v>27500</v>
      </c>
      <c r="O43" s="2"/>
      <c r="P43" s="2"/>
      <c r="Q43" s="2"/>
      <c r="R43" s="2"/>
      <c r="S43" s="3"/>
      <c r="T43" s="2"/>
      <c r="U43" s="18"/>
      <c r="V43" s="4">
        <v>9850</v>
      </c>
      <c r="W43" s="34">
        <f>13850+11520</f>
        <v>25370</v>
      </c>
      <c r="X43" s="2"/>
      <c r="Y43" s="2">
        <v>15850</v>
      </c>
      <c r="Z43" s="2">
        <f>11520+15980</f>
        <v>27500</v>
      </c>
      <c r="AA43" s="2"/>
      <c r="AB43" s="2"/>
      <c r="AC43" s="2"/>
      <c r="AD43" s="2"/>
      <c r="AE43" s="3"/>
      <c r="AF43" s="2"/>
      <c r="AG43" s="57"/>
      <c r="AH43" s="2">
        <v>75800</v>
      </c>
      <c r="AI43" s="2">
        <f t="shared" si="0"/>
        <v>85651</v>
      </c>
      <c r="AJ43" s="2">
        <f t="shared" si="1"/>
        <v>78570</v>
      </c>
      <c r="AK43" s="2">
        <f t="shared" si="2"/>
        <v>78570</v>
      </c>
      <c r="AL43" s="2">
        <f t="shared" si="3"/>
        <v>7081</v>
      </c>
      <c r="AM43" s="2">
        <f t="shared" si="4"/>
        <v>0</v>
      </c>
      <c r="AN43" s="2">
        <f t="shared" si="5"/>
        <v>7081</v>
      </c>
    </row>
    <row r="44" spans="1:40" ht="31.5" customHeight="1" x14ac:dyDescent="0.25">
      <c r="A44" s="55">
        <v>37</v>
      </c>
      <c r="B44" s="11" t="s">
        <v>56</v>
      </c>
      <c r="C44" s="15" t="s">
        <v>125</v>
      </c>
      <c r="D44" s="15" t="s">
        <v>123</v>
      </c>
      <c r="E44" s="17" t="s">
        <v>124</v>
      </c>
      <c r="F44" s="1" t="s">
        <v>37</v>
      </c>
      <c r="G44" s="17"/>
      <c r="H44" s="3">
        <v>6000</v>
      </c>
      <c r="I44" s="18"/>
      <c r="J44" s="4">
        <v>5500</v>
      </c>
      <c r="K44" s="2"/>
      <c r="L44" s="2"/>
      <c r="M44" s="2"/>
      <c r="N44" s="2"/>
      <c r="O44" s="2"/>
      <c r="P44" s="2"/>
      <c r="Q44" s="2"/>
      <c r="R44" s="2"/>
      <c r="S44" s="3"/>
      <c r="T44" s="52"/>
      <c r="U44" s="2"/>
      <c r="V44" s="2">
        <v>5500</v>
      </c>
      <c r="W44" s="4"/>
      <c r="X44" s="2"/>
      <c r="Y44" s="2"/>
      <c r="Z44" s="2"/>
      <c r="AA44" s="2"/>
      <c r="AB44" s="2"/>
      <c r="AC44" s="2"/>
      <c r="AD44" s="2"/>
      <c r="AE44" s="3"/>
      <c r="AF44" s="2"/>
      <c r="AG44" s="4">
        <v>490</v>
      </c>
      <c r="AH44" s="2"/>
      <c r="AI44" s="2">
        <f t="shared" si="0"/>
        <v>5510</v>
      </c>
      <c r="AJ44" s="2">
        <f t="shared" si="1"/>
        <v>5500</v>
      </c>
      <c r="AK44" s="2">
        <f t="shared" si="2"/>
        <v>5500</v>
      </c>
      <c r="AL44" s="2">
        <f t="shared" si="3"/>
        <v>10</v>
      </c>
      <c r="AM44" s="2">
        <f t="shared" si="4"/>
        <v>0</v>
      </c>
      <c r="AN44" s="2">
        <f t="shared" si="5"/>
        <v>10</v>
      </c>
    </row>
    <row r="45" spans="1:40" ht="31.5" customHeight="1" x14ac:dyDescent="0.25">
      <c r="A45" s="55">
        <v>38</v>
      </c>
      <c r="B45" s="11" t="s">
        <v>56</v>
      </c>
      <c r="C45" s="38" t="s">
        <v>128</v>
      </c>
      <c r="D45" s="15" t="s">
        <v>126</v>
      </c>
      <c r="E45" s="1" t="s">
        <v>127</v>
      </c>
      <c r="F45" s="1" t="s">
        <v>37</v>
      </c>
      <c r="G45" s="1"/>
      <c r="H45" s="2">
        <v>1800</v>
      </c>
      <c r="I45" s="18"/>
      <c r="J45" s="4"/>
      <c r="K45" s="18"/>
      <c r="L45" s="36"/>
      <c r="M45" s="2"/>
      <c r="N45" s="2"/>
      <c r="O45" s="36"/>
      <c r="P45" s="18"/>
      <c r="Q45" s="40"/>
      <c r="R45" s="2"/>
      <c r="S45" s="3"/>
      <c r="T45" s="2"/>
      <c r="U45" s="37"/>
      <c r="V45" s="4"/>
      <c r="W45" s="18"/>
      <c r="X45" s="36"/>
      <c r="Y45" s="2"/>
      <c r="Z45" s="2"/>
      <c r="AA45" s="36"/>
      <c r="AB45" s="18"/>
      <c r="AC45" s="40"/>
      <c r="AD45" s="2"/>
      <c r="AE45" s="3"/>
      <c r="AF45" s="2"/>
      <c r="AG45" s="57"/>
      <c r="AH45" s="2"/>
      <c r="AI45" s="2">
        <f t="shared" si="0"/>
        <v>1800</v>
      </c>
      <c r="AJ45" s="2">
        <f t="shared" si="1"/>
        <v>0</v>
      </c>
      <c r="AK45" s="2">
        <f t="shared" si="2"/>
        <v>0</v>
      </c>
      <c r="AL45" s="2">
        <f t="shared" si="3"/>
        <v>1800</v>
      </c>
      <c r="AM45" s="2">
        <f t="shared" si="4"/>
        <v>0</v>
      </c>
      <c r="AN45" s="2">
        <f t="shared" si="5"/>
        <v>1800</v>
      </c>
    </row>
    <row r="46" spans="1:40" ht="31.5" customHeight="1" x14ac:dyDescent="0.25">
      <c r="A46" s="55">
        <v>39</v>
      </c>
      <c r="B46" s="11" t="s">
        <v>56</v>
      </c>
      <c r="C46" s="6" t="s">
        <v>131</v>
      </c>
      <c r="D46" s="6" t="s">
        <v>129</v>
      </c>
      <c r="E46" s="1" t="s">
        <v>130</v>
      </c>
      <c r="F46" s="1" t="s">
        <v>37</v>
      </c>
      <c r="G46" s="1"/>
      <c r="H46" s="2">
        <v>115001</v>
      </c>
      <c r="I46" s="2"/>
      <c r="J46" s="22">
        <v>115000</v>
      </c>
      <c r="K46" s="2">
        <v>115000</v>
      </c>
      <c r="L46" s="2">
        <v>115000</v>
      </c>
      <c r="M46" s="2">
        <v>115000</v>
      </c>
      <c r="N46" s="2">
        <v>115000</v>
      </c>
      <c r="O46" s="2">
        <v>115000</v>
      </c>
      <c r="P46" s="2">
        <v>115000</v>
      </c>
      <c r="Q46" s="2">
        <f>115000+28750</f>
        <v>143750</v>
      </c>
      <c r="R46" s="2"/>
      <c r="S46" s="3"/>
      <c r="T46" s="2"/>
      <c r="U46" s="2"/>
      <c r="V46" s="2">
        <f t="shared" ref="V46:AB46" si="8">109480+5520</f>
        <v>115000</v>
      </c>
      <c r="W46" s="2">
        <f t="shared" si="8"/>
        <v>115000</v>
      </c>
      <c r="X46" s="2">
        <f t="shared" si="8"/>
        <v>115000</v>
      </c>
      <c r="Y46" s="2">
        <f t="shared" si="8"/>
        <v>115000</v>
      </c>
      <c r="Z46" s="2">
        <f t="shared" si="8"/>
        <v>115000</v>
      </c>
      <c r="AA46" s="2">
        <f t="shared" si="8"/>
        <v>115000</v>
      </c>
      <c r="AB46" s="2">
        <f t="shared" si="8"/>
        <v>115000</v>
      </c>
      <c r="AC46" s="2">
        <f>109480+27370+5520+1380</f>
        <v>143750</v>
      </c>
      <c r="AD46" s="2"/>
      <c r="AE46" s="3"/>
      <c r="AF46" s="2"/>
      <c r="AG46" s="57"/>
      <c r="AH46" s="2">
        <v>862000</v>
      </c>
      <c r="AI46" s="2">
        <f t="shared" si="0"/>
        <v>977001</v>
      </c>
      <c r="AJ46" s="2">
        <f t="shared" si="1"/>
        <v>948750</v>
      </c>
      <c r="AK46" s="2">
        <f t="shared" si="2"/>
        <v>948750</v>
      </c>
      <c r="AL46" s="2">
        <f t="shared" si="3"/>
        <v>28251</v>
      </c>
      <c r="AM46" s="2">
        <f t="shared" si="4"/>
        <v>0</v>
      </c>
      <c r="AN46" s="2">
        <f t="shared" si="5"/>
        <v>28251</v>
      </c>
    </row>
    <row r="47" spans="1:40" ht="31.5" customHeight="1" x14ac:dyDescent="0.25">
      <c r="A47" s="55">
        <v>40</v>
      </c>
      <c r="B47" s="11" t="s">
        <v>56</v>
      </c>
      <c r="C47" s="6" t="s">
        <v>134</v>
      </c>
      <c r="D47" s="6" t="s">
        <v>132</v>
      </c>
      <c r="E47" s="1" t="s">
        <v>133</v>
      </c>
      <c r="F47" s="1" t="s">
        <v>37</v>
      </c>
      <c r="G47" s="1"/>
      <c r="H47" s="2">
        <v>7815</v>
      </c>
      <c r="I47" s="2"/>
      <c r="J47" s="4">
        <v>7814.75</v>
      </c>
      <c r="K47" s="2">
        <v>5209.83</v>
      </c>
      <c r="L47" s="2"/>
      <c r="M47" s="2"/>
      <c r="N47" s="2"/>
      <c r="O47" s="2"/>
      <c r="P47" s="2"/>
      <c r="Q47" s="2"/>
      <c r="R47" s="2"/>
      <c r="S47" s="3"/>
      <c r="T47" s="2"/>
      <c r="U47" s="2"/>
      <c r="V47" s="2">
        <f>7439.64+375.11</f>
        <v>7814.75</v>
      </c>
      <c r="W47" s="2">
        <f>4959.76+250.07</f>
        <v>5209.83</v>
      </c>
      <c r="X47" s="2"/>
      <c r="Y47" s="2"/>
      <c r="Z47" s="2"/>
      <c r="AA47" s="2"/>
      <c r="AB47" s="2"/>
      <c r="AC47" s="2"/>
      <c r="AD47" s="2"/>
      <c r="AE47" s="3"/>
      <c r="AF47" s="2"/>
      <c r="AG47" s="57"/>
      <c r="AH47" s="2">
        <v>5250</v>
      </c>
      <c r="AI47" s="2">
        <f t="shared" si="0"/>
        <v>13065</v>
      </c>
      <c r="AJ47" s="2">
        <f t="shared" si="1"/>
        <v>13024.58</v>
      </c>
      <c r="AK47" s="2">
        <f t="shared" si="2"/>
        <v>13024.58</v>
      </c>
      <c r="AL47" s="2">
        <f t="shared" si="3"/>
        <v>40.420000000000073</v>
      </c>
      <c r="AM47" s="2">
        <f t="shared" si="4"/>
        <v>0</v>
      </c>
      <c r="AN47" s="2">
        <f t="shared" si="5"/>
        <v>40.420000000000073</v>
      </c>
    </row>
    <row r="48" spans="1:40" ht="30.75" customHeight="1" x14ac:dyDescent="0.25">
      <c r="A48" s="55">
        <v>41</v>
      </c>
      <c r="B48" s="11" t="s">
        <v>56</v>
      </c>
      <c r="C48" s="6" t="s">
        <v>137</v>
      </c>
      <c r="D48" s="6" t="s">
        <v>135</v>
      </c>
      <c r="E48" s="1" t="s">
        <v>136</v>
      </c>
      <c r="F48" s="1" t="s">
        <v>37</v>
      </c>
      <c r="G48" s="1"/>
      <c r="H48" s="2">
        <v>15000</v>
      </c>
      <c r="I48" s="2"/>
      <c r="J48" s="4">
        <v>10707.38</v>
      </c>
      <c r="K48" s="18">
        <v>4260.8</v>
      </c>
      <c r="L48" s="35">
        <v>25282.34</v>
      </c>
      <c r="M48" s="18"/>
      <c r="N48" s="35">
        <f>4406.48+17327.96</f>
        <v>21734.44</v>
      </c>
      <c r="O48" s="18">
        <v>4790.78</v>
      </c>
      <c r="P48" s="18">
        <v>7132.64</v>
      </c>
      <c r="Q48" s="35">
        <v>3271.4</v>
      </c>
      <c r="R48" s="2"/>
      <c r="S48" s="3"/>
      <c r="T48" s="2"/>
      <c r="U48" s="2"/>
      <c r="V48" s="4">
        <f>10546.77+160.61</f>
        <v>10707.380000000001</v>
      </c>
      <c r="W48" s="18">
        <f>4196.89+63.91</f>
        <v>4260.8</v>
      </c>
      <c r="X48" s="18">
        <f>24903.1+379.24</f>
        <v>25282.34</v>
      </c>
      <c r="Y48" s="18"/>
      <c r="Z48" s="18">
        <f>4340.38+17068.04+66.1+259.92</f>
        <v>21734.44</v>
      </c>
      <c r="AA48" s="18">
        <f>4718.92+71.86</f>
        <v>4790.78</v>
      </c>
      <c r="AB48" s="18">
        <f>7025.65+106.99</f>
        <v>7132.6399999999994</v>
      </c>
      <c r="AC48" s="18">
        <f>3222.33+49.07</f>
        <v>3271.4</v>
      </c>
      <c r="AD48" s="2"/>
      <c r="AE48" s="3"/>
      <c r="AF48" s="2"/>
      <c r="AG48" s="28"/>
      <c r="AH48" s="2">
        <v>66540</v>
      </c>
      <c r="AI48" s="2">
        <f t="shared" si="0"/>
        <v>81540</v>
      </c>
      <c r="AJ48" s="2">
        <f t="shared" si="1"/>
        <v>77179.78</v>
      </c>
      <c r="AK48" s="2">
        <f t="shared" si="2"/>
        <v>77179.78</v>
      </c>
      <c r="AL48" s="2">
        <f t="shared" si="3"/>
        <v>4360.2200000000012</v>
      </c>
      <c r="AM48" s="2">
        <f t="shared" si="4"/>
        <v>0</v>
      </c>
      <c r="AN48" s="2">
        <f t="shared" si="5"/>
        <v>4360.2200000000012</v>
      </c>
    </row>
    <row r="49" spans="1:40" ht="30.75" customHeight="1" x14ac:dyDescent="0.25">
      <c r="A49" s="55">
        <v>42</v>
      </c>
      <c r="B49" s="11" t="s">
        <v>56</v>
      </c>
      <c r="C49" s="14" t="s">
        <v>140</v>
      </c>
      <c r="D49" s="6" t="s">
        <v>138</v>
      </c>
      <c r="E49" s="1" t="s">
        <v>139</v>
      </c>
      <c r="F49" s="1" t="s">
        <v>37</v>
      </c>
      <c r="G49" s="1"/>
      <c r="H49" s="2">
        <v>20915</v>
      </c>
      <c r="I49" s="2"/>
      <c r="J49" s="4">
        <v>20914.3</v>
      </c>
      <c r="K49" s="2">
        <v>20914.3</v>
      </c>
      <c r="L49" s="2">
        <v>6002.5</v>
      </c>
      <c r="M49" s="2">
        <v>6002.5</v>
      </c>
      <c r="N49" s="2">
        <v>20914.3</v>
      </c>
      <c r="O49" s="2">
        <f>20914.3+0.01</f>
        <v>20914.309999999998</v>
      </c>
      <c r="P49" s="2"/>
      <c r="Q49" s="2">
        <f>17572+6002.5</f>
        <v>23574.5</v>
      </c>
      <c r="R49" s="2"/>
      <c r="S49" s="3"/>
      <c r="T49" s="2"/>
      <c r="U49" s="2"/>
      <c r="V49" s="4">
        <f>19910.41+1003.89</f>
        <v>20914.3</v>
      </c>
      <c r="W49" s="2">
        <f>19910.41+1003.89</f>
        <v>20914.3</v>
      </c>
      <c r="X49" s="2">
        <f>5714.38+288.12</f>
        <v>6002.5</v>
      </c>
      <c r="Y49" s="2">
        <f>5714.38+288.12</f>
        <v>6002.5</v>
      </c>
      <c r="Z49" s="2">
        <f>19910.41+1003.89</f>
        <v>20914.3</v>
      </c>
      <c r="AA49" s="2">
        <f>19910.42+1003.89</f>
        <v>20914.309999999998</v>
      </c>
      <c r="AB49" s="2"/>
      <c r="AC49" s="2">
        <f>16728.54+5714.38+843.46+288.12</f>
        <v>23574.5</v>
      </c>
      <c r="AD49" s="2"/>
      <c r="AE49" s="3"/>
      <c r="AF49" s="2"/>
      <c r="AG49" s="28"/>
      <c r="AH49" s="2">
        <v>105748</v>
      </c>
      <c r="AI49" s="2">
        <f t="shared" si="0"/>
        <v>126663</v>
      </c>
      <c r="AJ49" s="2">
        <f t="shared" si="1"/>
        <v>119236.70999999999</v>
      </c>
      <c r="AK49" s="2">
        <f t="shared" si="2"/>
        <v>119236.70999999999</v>
      </c>
      <c r="AL49" s="2">
        <f t="shared" si="3"/>
        <v>7426.2900000000081</v>
      </c>
      <c r="AM49" s="2">
        <f t="shared" si="4"/>
        <v>0</v>
      </c>
      <c r="AN49" s="2">
        <f t="shared" si="5"/>
        <v>7426.2900000000081</v>
      </c>
    </row>
    <row r="50" spans="1:40" ht="31.5" customHeight="1" x14ac:dyDescent="0.25">
      <c r="A50" s="55">
        <v>43</v>
      </c>
      <c r="B50" s="11" t="s">
        <v>26</v>
      </c>
      <c r="C50" s="6" t="s">
        <v>143</v>
      </c>
      <c r="D50" s="6" t="s">
        <v>141</v>
      </c>
      <c r="E50" s="1" t="s">
        <v>142</v>
      </c>
      <c r="F50" s="1" t="s">
        <v>37</v>
      </c>
      <c r="G50" s="32"/>
      <c r="H50" s="2">
        <v>15000</v>
      </c>
      <c r="I50" s="2">
        <v>15000</v>
      </c>
      <c r="J50" s="4"/>
      <c r="K50" s="2"/>
      <c r="L50" s="2"/>
      <c r="M50" s="2"/>
      <c r="N50" s="2"/>
      <c r="O50" s="2"/>
      <c r="P50" s="2"/>
      <c r="Q50" s="2"/>
      <c r="R50" s="2"/>
      <c r="S50" s="3"/>
      <c r="T50" s="2"/>
      <c r="U50" s="18">
        <v>15000</v>
      </c>
      <c r="V50" s="35"/>
      <c r="W50" s="2"/>
      <c r="X50" s="2"/>
      <c r="Y50" s="2"/>
      <c r="Z50" s="2"/>
      <c r="AA50" s="2"/>
      <c r="AB50" s="2"/>
      <c r="AC50" s="2"/>
      <c r="AD50" s="2"/>
      <c r="AE50" s="3"/>
      <c r="AF50" s="2"/>
      <c r="AG50" s="28"/>
      <c r="AH50" s="2"/>
      <c r="AI50" s="2">
        <f t="shared" si="0"/>
        <v>15000</v>
      </c>
      <c r="AJ50" s="2">
        <f t="shared" si="1"/>
        <v>15000</v>
      </c>
      <c r="AK50" s="2">
        <f t="shared" si="2"/>
        <v>15000</v>
      </c>
      <c r="AL50" s="2">
        <f t="shared" si="3"/>
        <v>0</v>
      </c>
      <c r="AM50" s="2">
        <f t="shared" si="4"/>
        <v>0</v>
      </c>
      <c r="AN50" s="2">
        <f t="shared" si="5"/>
        <v>0</v>
      </c>
    </row>
    <row r="51" spans="1:40" ht="31.5" customHeight="1" x14ac:dyDescent="0.25">
      <c r="A51" s="55">
        <v>52</v>
      </c>
      <c r="B51" s="11" t="s">
        <v>56</v>
      </c>
      <c r="C51" s="6" t="s">
        <v>110</v>
      </c>
      <c r="D51" s="6" t="s">
        <v>111</v>
      </c>
      <c r="E51" s="1"/>
      <c r="F51" s="1" t="s">
        <v>37</v>
      </c>
      <c r="G51" s="26"/>
      <c r="H51" s="2">
        <v>1</v>
      </c>
      <c r="I51" s="18">
        <v>145644.23000000001</v>
      </c>
      <c r="J51" s="36">
        <v>170565.04</v>
      </c>
      <c r="K51" s="2">
        <v>166355.54999999999</v>
      </c>
      <c r="L51" s="2">
        <v>174950.77</v>
      </c>
      <c r="M51" s="2">
        <v>163343.39000000001</v>
      </c>
      <c r="N51" s="34">
        <v>183239.59</v>
      </c>
      <c r="O51" s="2">
        <v>180417.45</v>
      </c>
      <c r="P51" s="2">
        <v>172790.51</v>
      </c>
      <c r="Q51" s="2">
        <v>177687.76</v>
      </c>
      <c r="R51" s="2">
        <v>1738.5</v>
      </c>
      <c r="S51" s="3"/>
      <c r="T51" s="2"/>
      <c r="U51" s="2">
        <f>85584.29+60059.94</f>
        <v>145644.22999999998</v>
      </c>
      <c r="V51" s="2">
        <f>104922.95+65642.09</f>
        <v>170565.03999999998</v>
      </c>
      <c r="W51" s="2">
        <f>99380.54+66975.01</f>
        <v>166355.54999999999</v>
      </c>
      <c r="X51" s="2">
        <f>108095.68+66855.09</f>
        <v>174950.77</v>
      </c>
      <c r="Y51" s="2">
        <f>1525.45+96584.19+65233.75</f>
        <v>163343.39000000001</v>
      </c>
      <c r="Z51" s="2">
        <f>113923.6+69315.99</f>
        <v>183239.59000000003</v>
      </c>
      <c r="AA51" s="2">
        <f>113293.26+67124.19</f>
        <v>180417.45</v>
      </c>
      <c r="AB51" s="2">
        <f>972.85+104078.55+67739.11</f>
        <v>172790.51</v>
      </c>
      <c r="AC51" s="2">
        <f>108602.77+69084.99</f>
        <v>177687.76</v>
      </c>
      <c r="AD51" s="2">
        <f>1738.5</f>
        <v>1738.5</v>
      </c>
      <c r="AE51" s="3"/>
      <c r="AF51" s="2"/>
      <c r="AG51" s="4"/>
      <c r="AH51" s="2">
        <v>1536732.79</v>
      </c>
      <c r="AI51" s="2">
        <f t="shared" si="0"/>
        <v>1536733.79</v>
      </c>
      <c r="AJ51" s="2">
        <f t="shared" si="1"/>
        <v>1536732.79</v>
      </c>
      <c r="AK51" s="2">
        <f t="shared" si="2"/>
        <v>1536732.79</v>
      </c>
      <c r="AL51" s="2">
        <f t="shared" si="3"/>
        <v>1</v>
      </c>
      <c r="AM51" s="2">
        <f t="shared" si="4"/>
        <v>0</v>
      </c>
      <c r="AN51" s="2">
        <f t="shared" si="5"/>
        <v>1</v>
      </c>
    </row>
    <row r="52" spans="1:40" ht="30.75" customHeight="1" x14ac:dyDescent="0.25">
      <c r="A52" s="55">
        <v>53</v>
      </c>
      <c r="B52" s="11" t="s">
        <v>56</v>
      </c>
      <c r="C52" s="6" t="s">
        <v>110</v>
      </c>
      <c r="D52" s="6" t="s">
        <v>111</v>
      </c>
      <c r="E52" s="1"/>
      <c r="F52" s="1" t="s">
        <v>37</v>
      </c>
      <c r="G52" s="26"/>
      <c r="H52" s="2">
        <v>1</v>
      </c>
      <c r="I52" s="2">
        <f>4449.5+52000+25200</f>
        <v>81649.5</v>
      </c>
      <c r="J52" s="4">
        <f>4449.5+25573.33+52000</f>
        <v>82022.83</v>
      </c>
      <c r="K52" s="2">
        <f>52000+25600+4449.5</f>
        <v>82049.5</v>
      </c>
      <c r="L52" s="2">
        <f>54000+4449.5+24800</f>
        <v>83249.5</v>
      </c>
      <c r="M52" s="2">
        <f>4449.5+54000+24800</f>
        <v>83249.5</v>
      </c>
      <c r="N52" s="2">
        <f>54000+4449.5+24800</f>
        <v>83249.5</v>
      </c>
      <c r="O52" s="2">
        <f>4449.5+54000+24800</f>
        <v>83249.5</v>
      </c>
      <c r="P52" s="2">
        <f>4449.5+24800+54000</f>
        <v>83249.5</v>
      </c>
      <c r="Q52" s="2">
        <f>4449.5+54000+24800</f>
        <v>83249.5</v>
      </c>
      <c r="R52" s="2"/>
      <c r="S52" s="3"/>
      <c r="T52" s="2"/>
      <c r="U52" s="2">
        <v>81649.5</v>
      </c>
      <c r="V52" s="2">
        <v>82022.83</v>
      </c>
      <c r="W52" s="2">
        <v>82049.5</v>
      </c>
      <c r="X52" s="2">
        <v>83249.5</v>
      </c>
      <c r="Y52" s="2">
        <v>83249.5</v>
      </c>
      <c r="Z52" s="2">
        <v>83249.5</v>
      </c>
      <c r="AA52" s="2">
        <v>83249.5</v>
      </c>
      <c r="AB52" s="2">
        <v>83249.5</v>
      </c>
      <c r="AC52" s="2"/>
      <c r="AD52" s="2"/>
      <c r="AE52" s="3"/>
      <c r="AF52" s="2"/>
      <c r="AG52" s="4"/>
      <c r="AH52" s="2">
        <v>745218.83</v>
      </c>
      <c r="AI52" s="2">
        <f t="shared" si="0"/>
        <v>745219.83</v>
      </c>
      <c r="AJ52" s="2">
        <f t="shared" si="1"/>
        <v>745218.83000000007</v>
      </c>
      <c r="AK52" s="2">
        <f t="shared" si="2"/>
        <v>661969.33000000007</v>
      </c>
      <c r="AL52" s="2">
        <f t="shared" si="3"/>
        <v>83250.499999999884</v>
      </c>
      <c r="AM52" s="2">
        <f t="shared" si="4"/>
        <v>83249.5</v>
      </c>
      <c r="AN52" s="2">
        <f t="shared" si="5"/>
        <v>0.99999999988358468</v>
      </c>
    </row>
    <row r="53" spans="1:40" ht="30.75" customHeight="1" x14ac:dyDescent="0.25">
      <c r="A53" s="55">
        <v>54</v>
      </c>
      <c r="B53" s="11" t="s">
        <v>56</v>
      </c>
      <c r="C53" s="6" t="s">
        <v>110</v>
      </c>
      <c r="D53" s="6" t="s">
        <v>111</v>
      </c>
      <c r="E53" s="17"/>
      <c r="F53" s="1" t="s">
        <v>37</v>
      </c>
      <c r="G53" s="26"/>
      <c r="H53" s="2">
        <v>1</v>
      </c>
      <c r="I53" s="2">
        <v>168</v>
      </c>
      <c r="J53" s="4">
        <v>168</v>
      </c>
      <c r="K53" s="4">
        <v>168</v>
      </c>
      <c r="L53" s="4">
        <v>168</v>
      </c>
      <c r="M53" s="4">
        <v>168</v>
      </c>
      <c r="N53" s="2">
        <v>168</v>
      </c>
      <c r="O53" s="2">
        <v>168</v>
      </c>
      <c r="P53" s="2">
        <v>168</v>
      </c>
      <c r="Q53" s="2">
        <v>168</v>
      </c>
      <c r="R53" s="2"/>
      <c r="S53" s="3"/>
      <c r="T53" s="2"/>
      <c r="U53" s="2">
        <v>168</v>
      </c>
      <c r="V53" s="2">
        <v>168</v>
      </c>
      <c r="W53" s="4">
        <v>168</v>
      </c>
      <c r="X53" s="4">
        <v>168</v>
      </c>
      <c r="Y53" s="4">
        <v>168</v>
      </c>
      <c r="Z53" s="2">
        <v>168</v>
      </c>
      <c r="AA53" s="2">
        <v>168</v>
      </c>
      <c r="AB53" s="2">
        <v>168</v>
      </c>
      <c r="AC53" s="2"/>
      <c r="AD53" s="2"/>
      <c r="AE53" s="3"/>
      <c r="AF53" s="2"/>
      <c r="AG53" s="4"/>
      <c r="AH53" s="2">
        <v>1512</v>
      </c>
      <c r="AI53" s="2">
        <f t="shared" si="0"/>
        <v>1513</v>
      </c>
      <c r="AJ53" s="2">
        <f t="shared" si="1"/>
        <v>1512</v>
      </c>
      <c r="AK53" s="2">
        <f t="shared" si="2"/>
        <v>1344</v>
      </c>
      <c r="AL53" s="2">
        <f t="shared" si="3"/>
        <v>169</v>
      </c>
      <c r="AM53" s="2">
        <f t="shared" si="4"/>
        <v>168</v>
      </c>
      <c r="AN53" s="2">
        <f t="shared" si="5"/>
        <v>1</v>
      </c>
    </row>
    <row r="54" spans="1:40" ht="30.75" customHeight="1" x14ac:dyDescent="0.25">
      <c r="A54" s="55">
        <v>55</v>
      </c>
      <c r="B54" s="11" t="s">
        <v>56</v>
      </c>
      <c r="C54" s="6" t="s">
        <v>144</v>
      </c>
      <c r="D54" s="6" t="s">
        <v>111</v>
      </c>
      <c r="E54" s="1"/>
      <c r="F54" s="1" t="s">
        <v>37</v>
      </c>
      <c r="G54" s="26"/>
      <c r="H54" s="2">
        <v>1</v>
      </c>
      <c r="I54" s="2">
        <v>8780</v>
      </c>
      <c r="J54" s="4">
        <v>8780</v>
      </c>
      <c r="K54" s="2">
        <v>7880</v>
      </c>
      <c r="L54" s="2">
        <v>7800</v>
      </c>
      <c r="M54" s="2">
        <v>8840</v>
      </c>
      <c r="N54" s="2">
        <v>9000</v>
      </c>
      <c r="O54" s="2">
        <v>11420</v>
      </c>
      <c r="P54" s="2">
        <v>11400</v>
      </c>
      <c r="Q54" s="2">
        <v>12460</v>
      </c>
      <c r="R54" s="2"/>
      <c r="S54" s="3"/>
      <c r="T54" s="2"/>
      <c r="U54" s="2">
        <v>8780</v>
      </c>
      <c r="V54" s="2">
        <v>8780</v>
      </c>
      <c r="W54" s="2">
        <v>7880</v>
      </c>
      <c r="X54" s="2">
        <v>7800</v>
      </c>
      <c r="Y54" s="2">
        <v>8840</v>
      </c>
      <c r="Z54" s="2">
        <v>9000</v>
      </c>
      <c r="AA54" s="2">
        <v>11420</v>
      </c>
      <c r="AB54" s="2">
        <v>11400</v>
      </c>
      <c r="AC54" s="2"/>
      <c r="AD54" s="2"/>
      <c r="AE54" s="3"/>
      <c r="AF54" s="2"/>
      <c r="AG54" s="4"/>
      <c r="AH54" s="2">
        <v>86360</v>
      </c>
      <c r="AI54" s="2">
        <f t="shared" si="0"/>
        <v>86361</v>
      </c>
      <c r="AJ54" s="2">
        <f t="shared" si="1"/>
        <v>86360</v>
      </c>
      <c r="AK54" s="2">
        <f t="shared" si="2"/>
        <v>73900</v>
      </c>
      <c r="AL54" s="2">
        <f t="shared" si="3"/>
        <v>12461</v>
      </c>
      <c r="AM54" s="2">
        <f t="shared" si="4"/>
        <v>12460</v>
      </c>
      <c r="AN54" s="2">
        <f t="shared" si="5"/>
        <v>1</v>
      </c>
    </row>
    <row r="55" spans="1:40" ht="30.75" customHeight="1" x14ac:dyDescent="0.25">
      <c r="A55" s="55">
        <v>56</v>
      </c>
      <c r="B55" s="11" t="s">
        <v>56</v>
      </c>
      <c r="C55" s="6" t="s">
        <v>110</v>
      </c>
      <c r="D55" s="6" t="s">
        <v>111</v>
      </c>
      <c r="E55" s="1"/>
      <c r="F55" s="1" t="s">
        <v>37</v>
      </c>
      <c r="G55" s="26"/>
      <c r="H55" s="2">
        <v>1</v>
      </c>
      <c r="I55" s="2">
        <v>3164.94</v>
      </c>
      <c r="J55" s="4">
        <v>3358.12</v>
      </c>
      <c r="K55" s="2">
        <v>3268.12</v>
      </c>
      <c r="L55" s="2">
        <v>3637.12</v>
      </c>
      <c r="M55" s="2">
        <v>3509.81</v>
      </c>
      <c r="N55" s="2">
        <v>3689.81</v>
      </c>
      <c r="O55" s="2">
        <v>4444.21</v>
      </c>
      <c r="P55" s="2">
        <v>5838.54</v>
      </c>
      <c r="Q55" s="2">
        <v>5409.95</v>
      </c>
      <c r="R55" s="2"/>
      <c r="S55" s="3"/>
      <c r="T55" s="2"/>
      <c r="U55" s="2">
        <v>3164.94</v>
      </c>
      <c r="V55" s="4">
        <v>3358.12</v>
      </c>
      <c r="W55" s="2">
        <v>3268.12</v>
      </c>
      <c r="X55" s="2">
        <v>3637.12</v>
      </c>
      <c r="Y55" s="2">
        <v>3509.81</v>
      </c>
      <c r="Z55" s="2">
        <v>3689.81</v>
      </c>
      <c r="AA55" s="2">
        <v>4444.21</v>
      </c>
      <c r="AB55" s="2">
        <v>5838.54</v>
      </c>
      <c r="AC55" s="2"/>
      <c r="AD55" s="2"/>
      <c r="AE55" s="3"/>
      <c r="AF55" s="2"/>
      <c r="AG55" s="4"/>
      <c r="AH55" s="2">
        <v>36320.620000000003</v>
      </c>
      <c r="AI55" s="2">
        <f t="shared" si="0"/>
        <v>36321.620000000003</v>
      </c>
      <c r="AJ55" s="2">
        <f t="shared" si="1"/>
        <v>36320.620000000003</v>
      </c>
      <c r="AK55" s="2">
        <f t="shared" si="2"/>
        <v>30910.670000000002</v>
      </c>
      <c r="AL55" s="2">
        <f t="shared" si="3"/>
        <v>5410.9500000000007</v>
      </c>
      <c r="AM55" s="2">
        <f t="shared" si="4"/>
        <v>5409.9500000000007</v>
      </c>
      <c r="AN55" s="2">
        <f t="shared" si="5"/>
        <v>1</v>
      </c>
    </row>
    <row r="56" spans="1:40" ht="30.75" customHeight="1" x14ac:dyDescent="0.25">
      <c r="A56" s="55">
        <v>57</v>
      </c>
      <c r="B56" s="11" t="s">
        <v>56</v>
      </c>
      <c r="C56" s="20" t="s">
        <v>147</v>
      </c>
      <c r="D56" s="14" t="s">
        <v>145</v>
      </c>
      <c r="E56" s="1" t="s">
        <v>146</v>
      </c>
      <c r="F56" s="1" t="s">
        <v>37</v>
      </c>
      <c r="G56" s="26"/>
      <c r="H56" s="2">
        <v>1</v>
      </c>
      <c r="I56" s="2">
        <v>1067.8800000000001</v>
      </c>
      <c r="J56" s="18">
        <v>1067.8800000000001</v>
      </c>
      <c r="K56" s="64">
        <v>1067.8800000000001</v>
      </c>
      <c r="L56" s="2">
        <v>1067.8800000000001</v>
      </c>
      <c r="M56" s="2">
        <v>1067.8800000000001</v>
      </c>
      <c r="N56" s="2">
        <v>1067.8800000000001</v>
      </c>
      <c r="O56" s="2">
        <v>1423.84</v>
      </c>
      <c r="P56" s="2">
        <v>1067.8800000000001</v>
      </c>
      <c r="Q56" s="2"/>
      <c r="R56" s="2"/>
      <c r="S56" s="3"/>
      <c r="T56" s="2"/>
      <c r="U56" s="2"/>
      <c r="V56" s="18">
        <v>1067.8800000000001</v>
      </c>
      <c r="W56" s="40">
        <v>1067.8800000000001</v>
      </c>
      <c r="X56" s="2">
        <v>1067.8800000000001</v>
      </c>
      <c r="Y56" s="2">
        <v>1067.8800000000001</v>
      </c>
      <c r="Z56" s="2">
        <v>1067.8800000000001</v>
      </c>
      <c r="AA56" s="2">
        <v>1067.8800000000001</v>
      </c>
      <c r="AB56" s="2">
        <v>1423.84</v>
      </c>
      <c r="AC56" s="2">
        <v>1067.8800000000001</v>
      </c>
      <c r="AD56" s="2"/>
      <c r="AE56" s="3"/>
      <c r="AF56" s="2"/>
      <c r="AG56" s="4"/>
      <c r="AH56" s="2">
        <v>12473</v>
      </c>
      <c r="AI56" s="2">
        <f t="shared" si="0"/>
        <v>12474</v>
      </c>
      <c r="AJ56" s="2">
        <f t="shared" si="1"/>
        <v>8899</v>
      </c>
      <c r="AK56" s="2">
        <f t="shared" si="2"/>
        <v>8899</v>
      </c>
      <c r="AL56" s="2">
        <f t="shared" si="3"/>
        <v>3575</v>
      </c>
      <c r="AM56" s="2">
        <f t="shared" si="4"/>
        <v>0</v>
      </c>
      <c r="AN56" s="2">
        <f t="shared" si="5"/>
        <v>3575</v>
      </c>
    </row>
    <row r="57" spans="1:40" ht="30.75" customHeight="1" x14ac:dyDescent="0.25">
      <c r="A57" s="55">
        <v>58</v>
      </c>
      <c r="B57" s="11" t="s">
        <v>56</v>
      </c>
      <c r="C57" s="6" t="s">
        <v>148</v>
      </c>
      <c r="D57" s="6" t="s">
        <v>63</v>
      </c>
      <c r="E57" s="1" t="s">
        <v>64</v>
      </c>
      <c r="F57" s="1" t="s">
        <v>37</v>
      </c>
      <c r="G57" s="26"/>
      <c r="H57" s="2">
        <v>1</v>
      </c>
      <c r="I57" s="2">
        <v>31138.53</v>
      </c>
      <c r="J57" s="4">
        <v>29911.99</v>
      </c>
      <c r="K57" s="2">
        <v>30675.39</v>
      </c>
      <c r="L57" s="2">
        <v>30113.55</v>
      </c>
      <c r="M57" s="2">
        <v>31416.13</v>
      </c>
      <c r="N57" s="2">
        <v>32085.119999999999</v>
      </c>
      <c r="O57" s="2">
        <v>27265.52</v>
      </c>
      <c r="P57" s="2">
        <f>633.2+32347.78</f>
        <v>32980.979999999996</v>
      </c>
      <c r="Q57" s="2"/>
      <c r="R57" s="2"/>
      <c r="S57" s="3"/>
      <c r="T57" s="2"/>
      <c r="U57" s="2"/>
      <c r="V57" s="2">
        <f>30379.05+759.47</f>
        <v>31138.52</v>
      </c>
      <c r="W57" s="2">
        <f>29182.43+729.56</f>
        <v>29911.99</v>
      </c>
      <c r="X57" s="2">
        <f>29927.2+748.2</f>
        <v>30675.4</v>
      </c>
      <c r="Y57" s="2">
        <f>29379.08+734.47</f>
        <v>30113.550000000003</v>
      </c>
      <c r="Z57" s="2">
        <f>724.9+27301.04+1695.09+1695.09</f>
        <v>31416.120000000003</v>
      </c>
      <c r="AA57" s="2">
        <f>741.22+27953.72+1695.09</f>
        <v>30390.030000000002</v>
      </c>
      <c r="AB57" s="2">
        <f>763.14+28830.67+1582.08</f>
        <v>31175.89</v>
      </c>
      <c r="AC57" s="2">
        <f>750.38+28433.24</f>
        <v>29183.620000000003</v>
      </c>
      <c r="AD57" s="2"/>
      <c r="AE57" s="3"/>
      <c r="AF57" s="2"/>
      <c r="AG57" s="4"/>
      <c r="AH57" s="2">
        <v>329422.48</v>
      </c>
      <c r="AI57" s="2">
        <f t="shared" si="0"/>
        <v>329423.48</v>
      </c>
      <c r="AJ57" s="2">
        <f t="shared" si="1"/>
        <v>245587.20999999996</v>
      </c>
      <c r="AK57" s="2">
        <f t="shared" si="2"/>
        <v>244005.12</v>
      </c>
      <c r="AL57" s="2">
        <f t="shared" si="3"/>
        <v>85418.359999999986</v>
      </c>
      <c r="AM57" s="2">
        <f t="shared" si="4"/>
        <v>1582.0899999999674</v>
      </c>
      <c r="AN57" s="2">
        <f t="shared" si="5"/>
        <v>83836.270000000019</v>
      </c>
    </row>
    <row r="58" spans="1:40" ht="30.75" customHeight="1" x14ac:dyDescent="0.25">
      <c r="A58" s="55">
        <v>59</v>
      </c>
      <c r="B58" s="11" t="s">
        <v>56</v>
      </c>
      <c r="C58" s="6" t="s">
        <v>110</v>
      </c>
      <c r="D58" s="6" t="s">
        <v>111</v>
      </c>
      <c r="E58" s="1"/>
      <c r="F58" s="1" t="s">
        <v>149</v>
      </c>
      <c r="G58" s="26"/>
      <c r="H58" s="2">
        <v>1</v>
      </c>
      <c r="I58" s="2">
        <v>466943.07</v>
      </c>
      <c r="J58" s="4">
        <v>468370.87</v>
      </c>
      <c r="K58" s="2">
        <v>470182.42</v>
      </c>
      <c r="L58" s="2">
        <v>475269.79</v>
      </c>
      <c r="M58" s="2">
        <v>477774.13</v>
      </c>
      <c r="N58" s="2">
        <v>481363.01</v>
      </c>
      <c r="O58" s="2">
        <v>485598.71999999997</v>
      </c>
      <c r="P58" s="2">
        <v>850306.04</v>
      </c>
      <c r="Q58" s="2"/>
      <c r="R58" s="2"/>
      <c r="S58" s="3"/>
      <c r="T58" s="2"/>
      <c r="U58" s="2">
        <f>463388.54+1839.07</f>
        <v>465227.61</v>
      </c>
      <c r="V58" s="4">
        <f>843.96+111.17+463921.76+843.96+2761.19</f>
        <v>468482.04000000004</v>
      </c>
      <c r="W58" s="2">
        <f>843.96+361339.8+398.12+551.24+107281.39</f>
        <v>470414.51</v>
      </c>
      <c r="X58" s="2">
        <f>611.87+364773.46+217.6+217.6+108680.43-217.6</f>
        <v>474283.36</v>
      </c>
      <c r="Y58" s="2">
        <f>435.19+937.09+741.14+366220.7+551.24+611.87+667.05+107984.4</f>
        <v>478148.67999999993</v>
      </c>
      <c r="Z58" s="2">
        <f>1223.75+367526.14+937.09+741.14+1102.48+109600.33</f>
        <v>481130.93000000005</v>
      </c>
      <c r="AA58" s="2">
        <f>611.87+843.96+470.05+370010.97+937.09+741.14+435.18+551.24+110471.84</f>
        <v>485073.33999999997</v>
      </c>
      <c r="AB58" s="2">
        <f>611.87+551.24+1102.47+635705.52+937.09+435.19+1450.62+206411.1</f>
        <v>847205.09999999986</v>
      </c>
      <c r="AC58" s="2">
        <f>591.41+361.54</f>
        <v>952.95</v>
      </c>
      <c r="AD58" s="2"/>
      <c r="AE58" s="53"/>
      <c r="AF58" s="2"/>
      <c r="AG58" s="4"/>
      <c r="AH58" s="2">
        <v>4175808.05</v>
      </c>
      <c r="AI58" s="2">
        <f t="shared" si="0"/>
        <v>4175809.05</v>
      </c>
      <c r="AJ58" s="2">
        <f t="shared" si="1"/>
        <v>4175808.05</v>
      </c>
      <c r="AK58" s="2">
        <f t="shared" si="2"/>
        <v>4170918.5200000005</v>
      </c>
      <c r="AL58" s="2">
        <f t="shared" si="3"/>
        <v>4890.5299999993294</v>
      </c>
      <c r="AM58" s="2">
        <f t="shared" si="4"/>
        <v>4889.5299999993294</v>
      </c>
      <c r="AN58" s="2">
        <f t="shared" si="5"/>
        <v>1</v>
      </c>
    </row>
    <row r="59" spans="1:40" ht="30.75" customHeight="1" x14ac:dyDescent="0.25">
      <c r="A59" s="55">
        <v>60</v>
      </c>
      <c r="B59" s="11" t="s">
        <v>56</v>
      </c>
      <c r="C59" s="6" t="s">
        <v>110</v>
      </c>
      <c r="D59" s="6" t="s">
        <v>111</v>
      </c>
      <c r="E59" s="1"/>
      <c r="F59" s="1" t="s">
        <v>149</v>
      </c>
      <c r="G59" s="26"/>
      <c r="H59" s="2">
        <v>1</v>
      </c>
      <c r="I59" s="2">
        <v>2845622.15</v>
      </c>
      <c r="J59" s="4">
        <v>2861051.72</v>
      </c>
      <c r="K59" s="2">
        <v>2865717.67</v>
      </c>
      <c r="L59" s="2">
        <v>2895361.47</v>
      </c>
      <c r="M59" s="2">
        <v>2879142.79</v>
      </c>
      <c r="N59" s="2">
        <v>2896919.48</v>
      </c>
      <c r="O59" s="2">
        <v>3315729.2</v>
      </c>
      <c r="P59" s="2">
        <f>3106085.77+455.87</f>
        <v>3106541.64</v>
      </c>
      <c r="Q59" s="2"/>
      <c r="R59" s="2"/>
      <c r="S59" s="3"/>
      <c r="T59" s="2"/>
      <c r="U59" s="2">
        <f>2803551.49+227.95+2912.84+1694.31+3078.25+736.92+334.31+1000.33+1692.3-334.31-334.31-1000.33-1692.34</f>
        <v>2811867.41</v>
      </c>
      <c r="V59" s="2">
        <f>3917.84+3017.23+10286.43+334.31+1384.59+480.93+4900.24+2742.95+1778.42+480.93+282.53+565.04+2838221.11+334.31+360.55+1695.12+1692.34+1000.33+240.47+888.81+113.97+4675.06+841.48+240.47-1692.34-334.31-360.55-1000.33-240.47</f>
        <v>2876847.4600000004</v>
      </c>
      <c r="W59" s="2">
        <f>444.37+1198.66+5746+1020.91+565.04+816.42+360.55+2214209.57+242.38+648.34+648.34+1469.07+2269.94+335.92+409.66+840.88+3464.99+660.28+631444.4-652.04</f>
        <v>2866143.6799999992</v>
      </c>
      <c r="X59" s="2">
        <f>876.41+227.95+197.46+480.93+611.87+361.54+995.17+361.54+160.28+480.93+2246169.95+480.93+1208.84+1208.84+3609.87+371.41+1066.59+125.46+278.85+770.79+242.38+201.13+258.56+372.72+464.19+278.85+639617.37+660.28-480.93-361.54-1377.27</f>
        <v>2899921.35</v>
      </c>
      <c r="Y59" s="2">
        <f>648.34+278.85+3311.37+278.85+409.66+409.66+470.05+470.05+716.78+854.98+4512.81+1874.85+2208302.66+24793.4+361.54+1286.07+630638.2+660.28</f>
        <v>2880278.4</v>
      </c>
      <c r="Z59" s="2">
        <f>672.85+470.05+1082.95+992.61+330.5+371.41+387.49+361.54+80.16+2222772.68+1874.85+24580.07+1889.41+3706.13+634713.14+660.28</f>
        <v>2894946.12</v>
      </c>
      <c r="AA59" s="2">
        <f>361.54+179.97+409.65+326.93+521+205.12+1023.36+2401.03+193.76+193.76+2526690.58+6432.2+31329.36+568.4+428.19+1486.24+1037.52+1820.08+733755.72+660.28</f>
        <v>3310024.69</v>
      </c>
      <c r="AB59" s="2">
        <f>361.54+2076.51+721.4+3383.37+611.87+227.95+2401.03+913.41+126.82+126.82+327.74+2382879.77+1935.83+32804+843.96+330.5+117.01+279.42+3840.99+330.51+675544.33+660.28+125.36-330.51-117.01-279.42</f>
        <v>3110243.48</v>
      </c>
      <c r="AC59" s="2">
        <f>4258.73+819.3+90.14+90.14+90.14+353.3+409.65+2570.25+480.97</f>
        <v>9162.6200000000008</v>
      </c>
      <c r="AD59" s="2"/>
      <c r="AE59" s="3"/>
      <c r="AF59" s="2"/>
      <c r="AG59" s="57"/>
      <c r="AH59" s="2">
        <v>23666086.120000001</v>
      </c>
      <c r="AI59" s="2">
        <f t="shared" si="0"/>
        <v>23666087.120000001</v>
      </c>
      <c r="AJ59" s="2">
        <f t="shared" si="1"/>
        <v>23666086.120000001</v>
      </c>
      <c r="AK59" s="2">
        <f t="shared" si="2"/>
        <v>23659435.210000005</v>
      </c>
      <c r="AL59" s="2">
        <f t="shared" si="3"/>
        <v>6651.9099999964237</v>
      </c>
      <c r="AM59" s="2">
        <f t="shared" si="4"/>
        <v>6650.9099999964237</v>
      </c>
      <c r="AN59" s="2">
        <f t="shared" si="5"/>
        <v>1</v>
      </c>
    </row>
    <row r="60" spans="1:40" ht="30.75" customHeight="1" x14ac:dyDescent="0.25">
      <c r="A60" s="55">
        <v>61</v>
      </c>
      <c r="B60" s="11" t="s">
        <v>56</v>
      </c>
      <c r="C60" s="6" t="s">
        <v>110</v>
      </c>
      <c r="D60" s="6" t="s">
        <v>111</v>
      </c>
      <c r="E60" s="1"/>
      <c r="F60" s="1" t="s">
        <v>149</v>
      </c>
      <c r="G60" s="26"/>
      <c r="H60" s="2">
        <v>1</v>
      </c>
      <c r="I60" s="2">
        <v>278157.74</v>
      </c>
      <c r="J60" s="4">
        <v>286091.73</v>
      </c>
      <c r="K60" s="2">
        <v>288371.15000000002</v>
      </c>
      <c r="L60" s="2">
        <v>288105.7</v>
      </c>
      <c r="M60" s="2">
        <v>289290.92</v>
      </c>
      <c r="N60" s="2">
        <v>291092.59999999998</v>
      </c>
      <c r="O60" s="2">
        <v>344300.49</v>
      </c>
      <c r="P60" s="2">
        <v>305356.78000000003</v>
      </c>
      <c r="Q60" s="2"/>
      <c r="R60" s="2"/>
      <c r="S60" s="3"/>
      <c r="T60" s="2"/>
      <c r="U60" s="2">
        <f>271715.64+480.93</f>
        <v>272196.57</v>
      </c>
      <c r="V60" s="2">
        <f>1648.67+2156.25+1435.46+720.79+286091.73</f>
        <v>292052.89999999997</v>
      </c>
      <c r="W60" s="2">
        <f>223843.23+64527.92</f>
        <v>288371.15000000002</v>
      </c>
      <c r="X60" s="2">
        <f>223710.04+64395.66</f>
        <v>288105.7</v>
      </c>
      <c r="Y60" s="2">
        <f>224415.35+875.87+63738.42</f>
        <v>289029.64</v>
      </c>
      <c r="Z60" s="2">
        <f>261.28+225537.78+875.87+63976.94</f>
        <v>290651.87</v>
      </c>
      <c r="AA60" s="2">
        <f>231.96+470.05+260884.87+4465.48+875.87+725.24+77349.03</f>
        <v>345002.5</v>
      </c>
      <c r="AB60" s="2">
        <f>236512.25+261.4+875.87+611.87+66733.84</f>
        <v>304995.23</v>
      </c>
      <c r="AC60" s="2">
        <f>305.95</f>
        <v>305.95</v>
      </c>
      <c r="AD60" s="2"/>
      <c r="AE60" s="3"/>
      <c r="AF60" s="2"/>
      <c r="AG60" s="4"/>
      <c r="AH60" s="2">
        <v>2370767.11</v>
      </c>
      <c r="AI60" s="2">
        <f t="shared" si="0"/>
        <v>2370768.11</v>
      </c>
      <c r="AJ60" s="2">
        <f t="shared" si="1"/>
        <v>2370767.11</v>
      </c>
      <c r="AK60" s="2">
        <f t="shared" si="2"/>
        <v>2370711.5100000002</v>
      </c>
      <c r="AL60" s="2">
        <f t="shared" si="3"/>
        <v>56.599999999627471</v>
      </c>
      <c r="AM60" s="2">
        <f t="shared" si="4"/>
        <v>55.599999999627471</v>
      </c>
      <c r="AN60" s="2">
        <f t="shared" si="5"/>
        <v>1</v>
      </c>
    </row>
    <row r="61" spans="1:40" ht="30.75" customHeight="1" x14ac:dyDescent="0.25">
      <c r="A61" s="55">
        <v>66</v>
      </c>
      <c r="B61" s="11" t="s">
        <v>56</v>
      </c>
      <c r="C61" s="15" t="s">
        <v>151</v>
      </c>
      <c r="D61" s="38" t="s">
        <v>150</v>
      </c>
      <c r="E61" s="1" t="s">
        <v>152</v>
      </c>
      <c r="F61" s="1" t="s">
        <v>37</v>
      </c>
      <c r="G61" s="26"/>
      <c r="H61" s="2">
        <v>79791</v>
      </c>
      <c r="I61" s="2"/>
      <c r="J61" s="4">
        <v>26549.39</v>
      </c>
      <c r="K61" s="2">
        <v>26549.39</v>
      </c>
      <c r="L61" s="2">
        <v>26549.39</v>
      </c>
      <c r="M61" s="2">
        <v>32028.07</v>
      </c>
      <c r="N61" s="2">
        <v>29253.09</v>
      </c>
      <c r="O61" s="2">
        <v>40122.49</v>
      </c>
      <c r="P61" s="2">
        <v>29233.71</v>
      </c>
      <c r="Q61" s="2">
        <v>29233.71</v>
      </c>
      <c r="R61" s="2"/>
      <c r="S61" s="53"/>
      <c r="T61" s="2"/>
      <c r="U61" s="2"/>
      <c r="V61" s="4">
        <v>26549.39</v>
      </c>
      <c r="W61" s="2">
        <v>26549.39</v>
      </c>
      <c r="X61" s="2">
        <v>26549.39</v>
      </c>
      <c r="Y61" s="2">
        <v>32028.07</v>
      </c>
      <c r="Z61" s="2">
        <v>29253.09</v>
      </c>
      <c r="AA61" s="2">
        <v>40122.49</v>
      </c>
      <c r="AB61" s="2">
        <v>29233.71</v>
      </c>
      <c r="AC61" s="2">
        <v>29233.71</v>
      </c>
      <c r="AD61" s="2"/>
      <c r="AE61" s="3"/>
      <c r="AF61" s="2"/>
      <c r="AG61" s="28"/>
      <c r="AH61" s="2">
        <v>171261</v>
      </c>
      <c r="AI61" s="2">
        <f t="shared" si="0"/>
        <v>251052</v>
      </c>
      <c r="AJ61" s="2">
        <f t="shared" si="1"/>
        <v>239519.23999999996</v>
      </c>
      <c r="AK61" s="2">
        <f t="shared" si="2"/>
        <v>239519.23999999996</v>
      </c>
      <c r="AL61" s="2">
        <f t="shared" si="3"/>
        <v>11532.760000000038</v>
      </c>
      <c r="AM61" s="2">
        <f t="shared" si="4"/>
        <v>0</v>
      </c>
      <c r="AN61" s="2">
        <f t="shared" si="5"/>
        <v>11532.760000000038</v>
      </c>
    </row>
    <row r="62" spans="1:40" ht="31.5" customHeight="1" x14ac:dyDescent="0.25">
      <c r="A62" s="55">
        <v>67</v>
      </c>
      <c r="B62" s="11" t="s">
        <v>56</v>
      </c>
      <c r="C62" s="6" t="s">
        <v>154</v>
      </c>
      <c r="D62" s="6" t="s">
        <v>153</v>
      </c>
      <c r="E62" s="1"/>
      <c r="F62" s="1" t="s">
        <v>37</v>
      </c>
      <c r="G62" s="26"/>
      <c r="H62" s="2">
        <v>50401</v>
      </c>
      <c r="I62" s="2">
        <v>16800</v>
      </c>
      <c r="J62" s="4">
        <v>16800</v>
      </c>
      <c r="K62" s="2">
        <v>16800</v>
      </c>
      <c r="L62" s="2">
        <v>16800</v>
      </c>
      <c r="M62" s="2">
        <v>16800</v>
      </c>
      <c r="N62" s="2">
        <v>16800</v>
      </c>
      <c r="O62" s="2">
        <v>16800</v>
      </c>
      <c r="P62" s="2">
        <v>16800</v>
      </c>
      <c r="Q62" s="2"/>
      <c r="R62" s="2"/>
      <c r="S62" s="3"/>
      <c r="T62" s="2"/>
      <c r="U62" s="2">
        <f>2100+2100+2100+2100+2100+2100+2100+2100</f>
        <v>16800</v>
      </c>
      <c r="V62" s="4">
        <f>2100+2100+2100+2100+2100+2100+2100+2100</f>
        <v>16800</v>
      </c>
      <c r="W62" s="2">
        <f>2100+2100+2100+2100+2100+2100+2100+2100</f>
        <v>16800</v>
      </c>
      <c r="X62" s="2">
        <f>2100+1936.16+2100+2100+2100+2100+2100+2100+163.84</f>
        <v>16800</v>
      </c>
      <c r="Y62" s="2">
        <f>2100+2100+2100+2100+2100+2100+2100+1955.24+144.76</f>
        <v>16800</v>
      </c>
      <c r="Z62" s="2">
        <f>2100+2100+2100+2100+1955.24+2100+2100+2100+144.76</f>
        <v>16799.999999999996</v>
      </c>
      <c r="AA62" s="2">
        <f>2100+2100+2100+1810.48+2100+2100+2100+2100+144.76</f>
        <v>16655.239999999998</v>
      </c>
      <c r="AB62" s="2">
        <f>1955.24+2100+2100+2100+2100+2100+2100+2100+144.76</f>
        <v>16799.999999999996</v>
      </c>
      <c r="AC62" s="2"/>
      <c r="AD62" s="2"/>
      <c r="AE62" s="3"/>
      <c r="AF62" s="2"/>
      <c r="AG62" s="57"/>
      <c r="AH62" s="2">
        <v>100795.77</v>
      </c>
      <c r="AI62" s="2">
        <f t="shared" si="0"/>
        <v>151196.77000000002</v>
      </c>
      <c r="AJ62" s="2">
        <f t="shared" si="1"/>
        <v>134400</v>
      </c>
      <c r="AK62" s="2">
        <f t="shared" si="2"/>
        <v>134255.24</v>
      </c>
      <c r="AL62" s="2">
        <f t="shared" si="3"/>
        <v>16941.530000000028</v>
      </c>
      <c r="AM62" s="2">
        <f t="shared" si="4"/>
        <v>144.76000000000931</v>
      </c>
      <c r="AN62" s="2">
        <f t="shared" si="5"/>
        <v>16796.770000000019</v>
      </c>
    </row>
    <row r="63" spans="1:40" ht="30.75" customHeight="1" x14ac:dyDescent="0.25">
      <c r="A63" s="67">
        <v>68</v>
      </c>
      <c r="B63" s="11" t="s">
        <v>56</v>
      </c>
      <c r="C63" s="6" t="s">
        <v>154</v>
      </c>
      <c r="D63" s="6" t="s">
        <v>153</v>
      </c>
      <c r="E63" s="1"/>
      <c r="F63" s="1" t="s">
        <v>37</v>
      </c>
      <c r="G63" s="26"/>
      <c r="H63" s="2">
        <v>10501</v>
      </c>
      <c r="I63" s="2">
        <v>10500</v>
      </c>
      <c r="J63" s="4">
        <v>10500</v>
      </c>
      <c r="K63" s="2">
        <v>10500</v>
      </c>
      <c r="L63" s="2">
        <v>10500</v>
      </c>
      <c r="M63" s="2">
        <v>10500</v>
      </c>
      <c r="N63" s="2">
        <v>10500</v>
      </c>
      <c r="O63" s="2">
        <v>10500</v>
      </c>
      <c r="P63" s="2">
        <v>10500</v>
      </c>
      <c r="Q63" s="2">
        <v>10500</v>
      </c>
      <c r="R63" s="2"/>
      <c r="S63" s="3"/>
      <c r="T63" s="2"/>
      <c r="U63" s="2">
        <f>2100+2100+2100+2100+2100</f>
        <v>10500</v>
      </c>
      <c r="V63" s="2">
        <f>2100+2100+2100+2100+2100</f>
        <v>10500</v>
      </c>
      <c r="W63" s="2">
        <f>2100+2100+2100+2100+2100</f>
        <v>10500</v>
      </c>
      <c r="X63" s="2">
        <f>2100+2100+1936.16+2100+2100+163.84</f>
        <v>10500</v>
      </c>
      <c r="Y63" s="2">
        <f>2100+2100+1955.24+2100+2100+144.76</f>
        <v>10500</v>
      </c>
      <c r="Z63" s="2">
        <f>2100+2100+2100+2100+1955.24+144.76</f>
        <v>10500</v>
      </c>
      <c r="AA63" s="2">
        <f>1955.24+2100+2100+2100+2100+144.76</f>
        <v>10500</v>
      </c>
      <c r="AB63" s="2">
        <f>1955.24+2100+2100+2100+2100+144.76</f>
        <v>10500</v>
      </c>
      <c r="AC63" s="2">
        <f>2100+2100+2100+2100+1955.24+144.76</f>
        <v>10500</v>
      </c>
      <c r="AD63" s="2"/>
      <c r="AE63" s="3"/>
      <c r="AF63" s="2"/>
      <c r="AG63" s="4"/>
      <c r="AH63" s="2">
        <v>84100</v>
      </c>
      <c r="AI63" s="2">
        <f t="shared" si="0"/>
        <v>94601</v>
      </c>
      <c r="AJ63" s="2">
        <f t="shared" si="1"/>
        <v>94500</v>
      </c>
      <c r="AK63" s="2">
        <f t="shared" si="2"/>
        <v>94500</v>
      </c>
      <c r="AL63" s="2">
        <f t="shared" si="3"/>
        <v>101</v>
      </c>
      <c r="AM63" s="2">
        <f t="shared" si="4"/>
        <v>0</v>
      </c>
      <c r="AN63" s="2">
        <f t="shared" si="5"/>
        <v>101</v>
      </c>
    </row>
    <row r="64" spans="1:40" ht="30.75" customHeight="1" x14ac:dyDescent="0.25">
      <c r="A64" s="55">
        <v>69</v>
      </c>
      <c r="B64" s="11" t="s">
        <v>56</v>
      </c>
      <c r="C64" s="6" t="s">
        <v>148</v>
      </c>
      <c r="D64" s="6" t="s">
        <v>63</v>
      </c>
      <c r="E64" s="1" t="s">
        <v>64</v>
      </c>
      <c r="F64" s="1" t="s">
        <v>37</v>
      </c>
      <c r="G64" s="26"/>
      <c r="H64" s="2">
        <v>1</v>
      </c>
      <c r="I64" s="2"/>
      <c r="J64" s="4"/>
      <c r="K64" s="2"/>
      <c r="L64" s="2"/>
      <c r="M64" s="2"/>
      <c r="N64" s="2"/>
      <c r="O64" s="2"/>
      <c r="P64" s="2"/>
      <c r="Q64" s="2"/>
      <c r="R64" s="2"/>
      <c r="S64" s="3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3"/>
      <c r="AF64" s="2"/>
      <c r="AG64" s="4">
        <v>1</v>
      </c>
      <c r="AH64" s="2"/>
      <c r="AI64" s="2">
        <f t="shared" si="0"/>
        <v>0</v>
      </c>
      <c r="AJ64" s="2">
        <f t="shared" si="1"/>
        <v>0</v>
      </c>
      <c r="AK64" s="2">
        <f t="shared" si="2"/>
        <v>0</v>
      </c>
      <c r="AL64" s="2">
        <f t="shared" si="3"/>
        <v>0</v>
      </c>
      <c r="AM64" s="2">
        <f t="shared" si="4"/>
        <v>0</v>
      </c>
      <c r="AN64" s="2">
        <f t="shared" si="5"/>
        <v>0</v>
      </c>
    </row>
    <row r="65" spans="1:40" ht="30.75" customHeight="1" x14ac:dyDescent="0.25">
      <c r="A65" s="55">
        <v>70</v>
      </c>
      <c r="B65" s="11" t="s">
        <v>56</v>
      </c>
      <c r="C65" s="6" t="s">
        <v>157</v>
      </c>
      <c r="D65" s="6" t="s">
        <v>155</v>
      </c>
      <c r="E65" s="1" t="s">
        <v>156</v>
      </c>
      <c r="F65" s="1" t="s">
        <v>37</v>
      </c>
      <c r="G65" s="1"/>
      <c r="H65" s="2">
        <v>1</v>
      </c>
      <c r="I65" s="2">
        <v>786.64</v>
      </c>
      <c r="J65" s="4">
        <v>1573.28</v>
      </c>
      <c r="K65" s="2">
        <v>1573.28</v>
      </c>
      <c r="L65" s="2">
        <v>1573.28</v>
      </c>
      <c r="M65" s="2">
        <v>1573.28</v>
      </c>
      <c r="N65" s="2">
        <v>1573.28</v>
      </c>
      <c r="O65" s="2">
        <v>1573.28</v>
      </c>
      <c r="P65" s="2">
        <v>2081.7600000000002</v>
      </c>
      <c r="Q65" s="2">
        <v>2081.7600000000002</v>
      </c>
      <c r="R65" s="2"/>
      <c r="S65" s="3"/>
      <c r="T65" s="2"/>
      <c r="U65" s="25"/>
      <c r="V65" s="2">
        <f>786.64+1573.28</f>
        <v>2359.92</v>
      </c>
      <c r="W65" s="2">
        <v>1573.28</v>
      </c>
      <c r="X65" s="2"/>
      <c r="Y65" s="2">
        <f>1573.28+1573.28</f>
        <v>3146.56</v>
      </c>
      <c r="Z65" s="2"/>
      <c r="AA65" s="2">
        <v>1573.28</v>
      </c>
      <c r="AB65" s="2">
        <v>1573.28</v>
      </c>
      <c r="AC65" s="2">
        <v>2081.7600000000002</v>
      </c>
      <c r="AD65" s="2"/>
      <c r="AE65" s="3"/>
      <c r="AF65" s="2"/>
      <c r="AG65" s="4">
        <v>3160</v>
      </c>
      <c r="AH65" s="2">
        <v>17549.84</v>
      </c>
      <c r="AI65" s="2">
        <f t="shared" si="0"/>
        <v>14390.84</v>
      </c>
      <c r="AJ65" s="2">
        <f t="shared" si="1"/>
        <v>14389.84</v>
      </c>
      <c r="AK65" s="2">
        <f t="shared" si="2"/>
        <v>12308.080000000002</v>
      </c>
      <c r="AL65" s="2">
        <f t="shared" si="3"/>
        <v>2082.7599999999984</v>
      </c>
      <c r="AM65" s="2">
        <f t="shared" si="4"/>
        <v>2081.7599999999984</v>
      </c>
      <c r="AN65" s="2">
        <f t="shared" si="5"/>
        <v>1</v>
      </c>
    </row>
    <row r="66" spans="1:40" ht="30.75" customHeight="1" x14ac:dyDescent="0.25">
      <c r="A66" s="55">
        <v>74</v>
      </c>
      <c r="B66" s="11" t="s">
        <v>26</v>
      </c>
      <c r="C66" s="6" t="s">
        <v>160</v>
      </c>
      <c r="D66" s="6" t="s">
        <v>158</v>
      </c>
      <c r="E66" s="1" t="s">
        <v>159</v>
      </c>
      <c r="F66" s="1" t="s">
        <v>37</v>
      </c>
      <c r="G66" s="1"/>
      <c r="H66" s="2">
        <v>550</v>
      </c>
      <c r="I66" s="2">
        <v>550</v>
      </c>
      <c r="J66" s="4"/>
      <c r="K66" s="2"/>
      <c r="L66" s="2"/>
      <c r="M66" s="2"/>
      <c r="N66" s="2"/>
      <c r="O66" s="2"/>
      <c r="P66" s="2"/>
      <c r="Q66" s="2"/>
      <c r="R66" s="2"/>
      <c r="S66" s="3"/>
      <c r="T66" s="2"/>
      <c r="U66" s="2">
        <v>550</v>
      </c>
      <c r="V66" s="4"/>
      <c r="W66" s="2"/>
      <c r="X66" s="2"/>
      <c r="Y66" s="2"/>
      <c r="Z66" s="2"/>
      <c r="AA66" s="2"/>
      <c r="AB66" s="2"/>
      <c r="AC66" s="2"/>
      <c r="AD66" s="2"/>
      <c r="AE66" s="3"/>
      <c r="AF66" s="2"/>
      <c r="AG66" s="28"/>
      <c r="AH66" s="2"/>
      <c r="AI66" s="2">
        <f t="shared" si="0"/>
        <v>550</v>
      </c>
      <c r="AJ66" s="2">
        <f t="shared" si="1"/>
        <v>550</v>
      </c>
      <c r="AK66" s="2">
        <f t="shared" si="2"/>
        <v>550</v>
      </c>
      <c r="AL66" s="2">
        <f t="shared" si="3"/>
        <v>0</v>
      </c>
      <c r="AM66" s="2">
        <f t="shared" si="4"/>
        <v>0</v>
      </c>
      <c r="AN66" s="2">
        <f t="shared" si="5"/>
        <v>0</v>
      </c>
    </row>
    <row r="67" spans="1:40" ht="30.75" customHeight="1" x14ac:dyDescent="0.25">
      <c r="A67" s="61">
        <v>76</v>
      </c>
      <c r="B67" s="11" t="s">
        <v>56</v>
      </c>
      <c r="C67" s="6" t="s">
        <v>163</v>
      </c>
      <c r="D67" s="6" t="s">
        <v>161</v>
      </c>
      <c r="E67" s="1" t="s">
        <v>162</v>
      </c>
      <c r="F67" s="1" t="s">
        <v>37</v>
      </c>
      <c r="G67" s="1"/>
      <c r="H67" s="25">
        <v>25936.799999999999</v>
      </c>
      <c r="I67" s="2"/>
      <c r="J67" s="4">
        <v>25936.799999999999</v>
      </c>
      <c r="K67" s="2"/>
      <c r="L67" s="2"/>
      <c r="M67" s="2"/>
      <c r="N67" s="2"/>
      <c r="O67" s="2"/>
      <c r="P67" s="2"/>
      <c r="Q67" s="2"/>
      <c r="R67" s="2"/>
      <c r="S67" s="3"/>
      <c r="T67" s="2"/>
      <c r="U67" s="2"/>
      <c r="V67" s="2">
        <v>25936.799999999999</v>
      </c>
      <c r="W67" s="2"/>
      <c r="X67" s="2"/>
      <c r="Y67" s="2"/>
      <c r="Z67" s="2"/>
      <c r="AA67" s="2"/>
      <c r="AB67" s="2"/>
      <c r="AC67" s="2"/>
      <c r="AD67" s="2"/>
      <c r="AE67" s="3"/>
      <c r="AF67" s="2"/>
      <c r="AG67" s="28"/>
      <c r="AH67" s="2"/>
      <c r="AI67" s="2">
        <f t="shared" si="0"/>
        <v>25936.799999999999</v>
      </c>
      <c r="AJ67" s="2">
        <f t="shared" si="1"/>
        <v>25936.799999999999</v>
      </c>
      <c r="AK67" s="2">
        <f t="shared" si="2"/>
        <v>25936.799999999999</v>
      </c>
      <c r="AL67" s="2">
        <f t="shared" si="3"/>
        <v>0</v>
      </c>
      <c r="AM67" s="2">
        <f t="shared" si="4"/>
        <v>0</v>
      </c>
      <c r="AN67" s="2">
        <f t="shared" si="5"/>
        <v>0</v>
      </c>
    </row>
    <row r="68" spans="1:40" ht="30.75" customHeight="1" x14ac:dyDescent="0.25">
      <c r="A68" s="55">
        <v>77</v>
      </c>
      <c r="B68" s="11" t="s">
        <v>56</v>
      </c>
      <c r="C68" s="6" t="s">
        <v>164</v>
      </c>
      <c r="D68" s="6" t="s">
        <v>165</v>
      </c>
      <c r="E68" s="1" t="s">
        <v>166</v>
      </c>
      <c r="F68" s="1" t="s">
        <v>37</v>
      </c>
      <c r="G68" s="1"/>
      <c r="H68" s="25">
        <v>10000</v>
      </c>
      <c r="I68" s="2"/>
      <c r="J68" s="4">
        <v>5751.51</v>
      </c>
      <c r="K68" s="2">
        <v>5751.51</v>
      </c>
      <c r="L68" s="2">
        <v>9690.59</v>
      </c>
      <c r="M68" s="2"/>
      <c r="N68" s="2">
        <v>5751.51</v>
      </c>
      <c r="O68" s="2">
        <v>5751.51</v>
      </c>
      <c r="P68" s="2">
        <v>5812.31</v>
      </c>
      <c r="Q68" s="2">
        <v>5754.91</v>
      </c>
      <c r="R68" s="2"/>
      <c r="S68" s="3"/>
      <c r="T68" s="2"/>
      <c r="U68" s="2"/>
      <c r="V68" s="4">
        <f>5475.44+276.07</f>
        <v>5751.5099999999993</v>
      </c>
      <c r="W68" s="2">
        <f>5475.44+276.07</f>
        <v>5751.5099999999993</v>
      </c>
      <c r="X68" s="2">
        <f>9225.44+465.15</f>
        <v>9690.59</v>
      </c>
      <c r="Y68" s="2"/>
      <c r="Z68" s="2">
        <f>5475.44+276.07</f>
        <v>5751.5099999999993</v>
      </c>
      <c r="AA68" s="2">
        <f>5475.44+276.07</f>
        <v>5751.5099999999993</v>
      </c>
      <c r="AB68" s="2">
        <f>5533.32+278.99</f>
        <v>5812.3099999999995</v>
      </c>
      <c r="AC68" s="2">
        <f>5478.67+276.24</f>
        <v>5754.91</v>
      </c>
      <c r="AD68" s="2"/>
      <c r="AE68" s="3"/>
      <c r="AF68" s="2"/>
      <c r="AG68" s="28"/>
      <c r="AH68" s="2">
        <v>34700</v>
      </c>
      <c r="AI68" s="2">
        <f t="shared" si="0"/>
        <v>44700</v>
      </c>
      <c r="AJ68" s="2">
        <f t="shared" si="1"/>
        <v>44263.850000000006</v>
      </c>
      <c r="AK68" s="2">
        <f t="shared" si="2"/>
        <v>44263.849999999991</v>
      </c>
      <c r="AL68" s="2">
        <f t="shared" si="3"/>
        <v>436.15000000000873</v>
      </c>
      <c r="AM68" s="2">
        <f t="shared" si="4"/>
        <v>1.4551915228366852E-11</v>
      </c>
      <c r="AN68" s="2">
        <f t="shared" si="5"/>
        <v>436.14999999999418</v>
      </c>
    </row>
    <row r="69" spans="1:40" ht="30.75" customHeight="1" x14ac:dyDescent="0.25">
      <c r="A69" s="55">
        <v>78</v>
      </c>
      <c r="B69" s="11" t="s">
        <v>56</v>
      </c>
      <c r="C69" s="6" t="s">
        <v>168</v>
      </c>
      <c r="D69" s="6" t="s">
        <v>167</v>
      </c>
      <c r="E69" s="1" t="s">
        <v>99</v>
      </c>
      <c r="F69" s="1" t="s">
        <v>37</v>
      </c>
      <c r="G69" s="1"/>
      <c r="H69" s="25">
        <v>11000</v>
      </c>
      <c r="I69" s="2"/>
      <c r="J69" s="4">
        <f>7429.77+10371.86</f>
        <v>17801.63</v>
      </c>
      <c r="K69" s="4"/>
      <c r="L69" s="4">
        <v>10352.49</v>
      </c>
      <c r="M69" s="4">
        <v>5190.55</v>
      </c>
      <c r="N69" s="4">
        <v>5198.12</v>
      </c>
      <c r="O69" s="4">
        <v>5199.18</v>
      </c>
      <c r="P69" s="4">
        <v>2724.3</v>
      </c>
      <c r="Q69" s="4"/>
      <c r="R69" s="4"/>
      <c r="S69" s="3"/>
      <c r="T69" s="2"/>
      <c r="U69" s="2"/>
      <c r="V69" s="4">
        <f>7073.14+9874.01+356.63+497.85</f>
        <v>17801.63</v>
      </c>
      <c r="W69" s="4"/>
      <c r="X69" s="4">
        <f>9855.57+496.92</f>
        <v>10352.49</v>
      </c>
      <c r="Y69" s="4">
        <f>4941.4+249.15</f>
        <v>5190.5499999999993</v>
      </c>
      <c r="Z69" s="4">
        <f>4948.61+249.51</f>
        <v>5198.12</v>
      </c>
      <c r="AA69" s="4">
        <f>4949.62+249.56</f>
        <v>5199.18</v>
      </c>
      <c r="AB69" s="4">
        <f>2724.3</f>
        <v>2724.3</v>
      </c>
      <c r="AC69" s="4"/>
      <c r="AD69" s="4"/>
      <c r="AE69" s="3"/>
      <c r="AF69" s="2"/>
      <c r="AG69" s="28"/>
      <c r="AH69" s="2">
        <v>37943</v>
      </c>
      <c r="AI69" s="2">
        <f t="shared" si="0"/>
        <v>48943</v>
      </c>
      <c r="AJ69" s="2">
        <f t="shared" si="1"/>
        <v>46466.270000000011</v>
      </c>
      <c r="AK69" s="2">
        <f t="shared" si="2"/>
        <v>46466.270000000004</v>
      </c>
      <c r="AL69" s="2">
        <f t="shared" si="3"/>
        <v>2476.7299999999959</v>
      </c>
      <c r="AM69" s="2">
        <f t="shared" si="4"/>
        <v>7.2759576141834259E-12</v>
      </c>
      <c r="AN69" s="2">
        <f t="shared" si="5"/>
        <v>2476.7299999999886</v>
      </c>
    </row>
    <row r="70" spans="1:40" ht="30.75" customHeight="1" x14ac:dyDescent="0.25">
      <c r="A70" s="55">
        <v>79</v>
      </c>
      <c r="B70" s="11" t="s">
        <v>56</v>
      </c>
      <c r="C70" s="6" t="s">
        <v>171</v>
      </c>
      <c r="D70" s="6" t="s">
        <v>169</v>
      </c>
      <c r="E70" s="1" t="s">
        <v>170</v>
      </c>
      <c r="F70" s="1" t="s">
        <v>37</v>
      </c>
      <c r="G70" s="1"/>
      <c r="H70" s="2">
        <v>3000</v>
      </c>
      <c r="I70" s="4"/>
      <c r="J70" s="4">
        <v>1726.36</v>
      </c>
      <c r="K70" s="4">
        <v>823.27</v>
      </c>
      <c r="L70" s="4"/>
      <c r="M70" s="4"/>
      <c r="N70" s="4"/>
      <c r="O70" s="4"/>
      <c r="P70" s="4"/>
      <c r="Q70" s="4"/>
      <c r="R70" s="4"/>
      <c r="S70" s="4"/>
      <c r="T70" s="4"/>
      <c r="U70" s="4"/>
      <c r="V70" s="4">
        <v>1726.36</v>
      </c>
      <c r="W70" s="4">
        <v>823.27</v>
      </c>
      <c r="X70" s="4"/>
      <c r="Y70" s="4"/>
      <c r="Z70" s="4"/>
      <c r="AA70" s="4"/>
      <c r="AB70" s="4"/>
      <c r="AC70" s="4"/>
      <c r="AD70" s="4"/>
      <c r="AE70" s="4"/>
      <c r="AF70" s="4"/>
      <c r="AG70" s="4">
        <v>450.37</v>
      </c>
      <c r="AH70" s="2"/>
      <c r="AI70" s="2">
        <f t="shared" si="0"/>
        <v>2549.63</v>
      </c>
      <c r="AJ70" s="2">
        <f t="shared" si="1"/>
        <v>2549.63</v>
      </c>
      <c r="AK70" s="2">
        <f t="shared" si="2"/>
        <v>2549.63</v>
      </c>
      <c r="AL70" s="2">
        <f t="shared" si="3"/>
        <v>0</v>
      </c>
      <c r="AM70" s="2">
        <f t="shared" si="4"/>
        <v>0</v>
      </c>
      <c r="AN70" s="2">
        <f t="shared" si="5"/>
        <v>0</v>
      </c>
    </row>
    <row r="71" spans="1:40" ht="30.75" customHeight="1" x14ac:dyDescent="0.25">
      <c r="A71" s="55">
        <v>81</v>
      </c>
      <c r="B71" s="11" t="s">
        <v>26</v>
      </c>
      <c r="C71" s="14" t="s">
        <v>94</v>
      </c>
      <c r="D71" s="10" t="s">
        <v>92</v>
      </c>
      <c r="E71" s="11" t="s">
        <v>93</v>
      </c>
      <c r="F71" s="1" t="s">
        <v>36</v>
      </c>
      <c r="G71" s="11"/>
      <c r="H71" s="2">
        <v>900</v>
      </c>
      <c r="I71" s="4">
        <v>900</v>
      </c>
      <c r="J71" s="2"/>
      <c r="K71" s="4"/>
      <c r="L71" s="4"/>
      <c r="M71" s="4"/>
      <c r="N71" s="4"/>
      <c r="O71" s="4"/>
      <c r="P71" s="4"/>
      <c r="Q71" s="4"/>
      <c r="R71" s="4"/>
      <c r="S71" s="4"/>
      <c r="T71" s="4"/>
      <c r="U71" s="4">
        <v>900</v>
      </c>
      <c r="V71" s="2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57"/>
      <c r="AH71" s="2"/>
      <c r="AI71" s="2">
        <f t="shared" si="0"/>
        <v>900</v>
      </c>
      <c r="AJ71" s="2">
        <f t="shared" si="1"/>
        <v>900</v>
      </c>
      <c r="AK71" s="2">
        <f t="shared" si="2"/>
        <v>900</v>
      </c>
      <c r="AL71" s="2">
        <f t="shared" si="3"/>
        <v>0</v>
      </c>
      <c r="AM71" s="2">
        <f t="shared" si="4"/>
        <v>0</v>
      </c>
      <c r="AN71" s="2">
        <f t="shared" si="5"/>
        <v>0</v>
      </c>
    </row>
    <row r="72" spans="1:40" ht="30.75" customHeight="1" x14ac:dyDescent="0.25">
      <c r="A72" s="55">
        <v>82</v>
      </c>
      <c r="B72" s="11" t="s">
        <v>26</v>
      </c>
      <c r="C72" s="6" t="s">
        <v>94</v>
      </c>
      <c r="D72" s="6" t="s">
        <v>172</v>
      </c>
      <c r="E72" s="1" t="s">
        <v>173</v>
      </c>
      <c r="F72" s="1" t="s">
        <v>36</v>
      </c>
      <c r="G72" s="1"/>
      <c r="H72" s="2">
        <v>1500</v>
      </c>
      <c r="I72" s="4">
        <v>1500</v>
      </c>
      <c r="J72" s="3"/>
      <c r="K72" s="4"/>
      <c r="L72" s="4"/>
      <c r="M72" s="4"/>
      <c r="N72" s="4"/>
      <c r="O72" s="4"/>
      <c r="P72" s="4"/>
      <c r="Q72" s="4"/>
      <c r="R72" s="4"/>
      <c r="S72" s="4"/>
      <c r="T72" s="4"/>
      <c r="U72" s="4">
        <v>1500</v>
      </c>
      <c r="V72" s="2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2"/>
      <c r="AI72" s="2">
        <f t="shared" si="0"/>
        <v>1500</v>
      </c>
      <c r="AJ72" s="2">
        <f t="shared" si="1"/>
        <v>1500</v>
      </c>
      <c r="AK72" s="2">
        <f t="shared" si="2"/>
        <v>1500</v>
      </c>
      <c r="AL72" s="2">
        <f t="shared" si="3"/>
        <v>0</v>
      </c>
      <c r="AM72" s="2">
        <f t="shared" si="4"/>
        <v>0</v>
      </c>
      <c r="AN72" s="2">
        <f t="shared" si="5"/>
        <v>0</v>
      </c>
    </row>
    <row r="73" spans="1:40" ht="30.75" customHeight="1" x14ac:dyDescent="0.25">
      <c r="A73" s="55">
        <v>83</v>
      </c>
      <c r="B73" s="11" t="s">
        <v>56</v>
      </c>
      <c r="C73" s="6" t="s">
        <v>174</v>
      </c>
      <c r="D73" s="6" t="s">
        <v>175</v>
      </c>
      <c r="E73" s="1" t="s">
        <v>176</v>
      </c>
      <c r="F73" s="1" t="s">
        <v>37</v>
      </c>
      <c r="G73" s="1"/>
      <c r="H73" s="2">
        <v>10000</v>
      </c>
      <c r="I73" s="52"/>
      <c r="J73" s="2"/>
      <c r="K73" s="2"/>
      <c r="L73" s="2"/>
      <c r="M73" s="2"/>
      <c r="N73" s="2">
        <v>6050</v>
      </c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>
        <v>6050</v>
      </c>
      <c r="AA73" s="2"/>
      <c r="AB73" s="2"/>
      <c r="AC73" s="2"/>
      <c r="AD73" s="2"/>
      <c r="AE73" s="2"/>
      <c r="AF73" s="2"/>
      <c r="AG73" s="4"/>
      <c r="AH73" s="2"/>
      <c r="AI73" s="2">
        <f t="shared" ref="AI73:AI136" si="9">H73-AG73+AH73</f>
        <v>10000</v>
      </c>
      <c r="AJ73" s="2">
        <f t="shared" ref="AJ73:AJ136" si="10">SUM(I73:T73)</f>
        <v>6050</v>
      </c>
      <c r="AK73" s="2">
        <f t="shared" ref="AK73:AK136" si="11">SUM(U73:AF73)</f>
        <v>6050</v>
      </c>
      <c r="AL73" s="2">
        <f t="shared" ref="AL73:AL136" si="12">SUM(AJ73-AK73)+(AI73-AJ73)</f>
        <v>3950</v>
      </c>
      <c r="AM73" s="2">
        <f t="shared" ref="AM73:AM136" si="13">SUM(AJ73-AK73)</f>
        <v>0</v>
      </c>
      <c r="AN73" s="2">
        <f t="shared" ref="AN73:AN136" si="14">SUM(AI73-AJ73)</f>
        <v>3950</v>
      </c>
    </row>
    <row r="74" spans="1:40" ht="30.75" customHeight="1" x14ac:dyDescent="0.25">
      <c r="A74" s="55">
        <v>84</v>
      </c>
      <c r="B74" s="11" t="s">
        <v>26</v>
      </c>
      <c r="C74" s="6" t="s">
        <v>94</v>
      </c>
      <c r="D74" s="6" t="s">
        <v>177</v>
      </c>
      <c r="E74" s="1" t="s">
        <v>178</v>
      </c>
      <c r="F74" s="1" t="s">
        <v>36</v>
      </c>
      <c r="G74" s="1"/>
      <c r="H74" s="2">
        <v>1500</v>
      </c>
      <c r="I74" s="2">
        <v>1500</v>
      </c>
      <c r="J74" s="2"/>
      <c r="K74" s="2"/>
      <c r="L74" s="2"/>
      <c r="M74" s="2"/>
      <c r="N74" s="2"/>
      <c r="O74" s="52"/>
      <c r="P74" s="2"/>
      <c r="Q74" s="2"/>
      <c r="R74" s="2"/>
      <c r="S74" s="2"/>
      <c r="T74" s="2"/>
      <c r="U74" s="2">
        <v>1500</v>
      </c>
      <c r="V74" s="2"/>
      <c r="W74" s="34"/>
      <c r="X74" s="2"/>
      <c r="Y74" s="2"/>
      <c r="Z74" s="2"/>
      <c r="AA74" s="52"/>
      <c r="AB74" s="2"/>
      <c r="AC74" s="2"/>
      <c r="AD74" s="2"/>
      <c r="AE74" s="2"/>
      <c r="AF74" s="2"/>
      <c r="AG74" s="57"/>
      <c r="AH74" s="2"/>
      <c r="AI74" s="2">
        <f t="shared" si="9"/>
        <v>1500</v>
      </c>
      <c r="AJ74" s="2">
        <f t="shared" si="10"/>
        <v>1500</v>
      </c>
      <c r="AK74" s="2">
        <f t="shared" si="11"/>
        <v>1500</v>
      </c>
      <c r="AL74" s="2">
        <f t="shared" si="12"/>
        <v>0</v>
      </c>
      <c r="AM74" s="2">
        <f t="shared" si="13"/>
        <v>0</v>
      </c>
      <c r="AN74" s="2">
        <f t="shared" si="14"/>
        <v>0</v>
      </c>
    </row>
    <row r="75" spans="1:40" ht="30.75" customHeight="1" x14ac:dyDescent="0.25">
      <c r="A75" s="55">
        <v>85</v>
      </c>
      <c r="B75" s="11" t="s">
        <v>26</v>
      </c>
      <c r="C75" s="6" t="s">
        <v>94</v>
      </c>
      <c r="D75" s="6" t="s">
        <v>179</v>
      </c>
      <c r="E75" s="1" t="s">
        <v>180</v>
      </c>
      <c r="F75" s="1" t="s">
        <v>36</v>
      </c>
      <c r="G75" s="1"/>
      <c r="H75" s="2">
        <v>1500</v>
      </c>
      <c r="I75" s="2">
        <v>1500</v>
      </c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>
        <v>1500</v>
      </c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4"/>
      <c r="AH75" s="2"/>
      <c r="AI75" s="2">
        <f t="shared" si="9"/>
        <v>1500</v>
      </c>
      <c r="AJ75" s="2">
        <f t="shared" si="10"/>
        <v>1500</v>
      </c>
      <c r="AK75" s="2">
        <f t="shared" si="11"/>
        <v>1500</v>
      </c>
      <c r="AL75" s="2">
        <f t="shared" si="12"/>
        <v>0</v>
      </c>
      <c r="AM75" s="2">
        <f t="shared" si="13"/>
        <v>0</v>
      </c>
      <c r="AN75" s="2">
        <f t="shared" si="14"/>
        <v>0</v>
      </c>
    </row>
    <row r="76" spans="1:40" ht="30.75" customHeight="1" x14ac:dyDescent="0.25">
      <c r="A76" s="55">
        <v>86</v>
      </c>
      <c r="B76" s="11" t="s">
        <v>56</v>
      </c>
      <c r="C76" s="6" t="s">
        <v>154</v>
      </c>
      <c r="D76" s="6" t="s">
        <v>153</v>
      </c>
      <c r="E76" s="1" t="s">
        <v>146</v>
      </c>
      <c r="F76" s="1" t="s">
        <v>37</v>
      </c>
      <c r="G76" s="1"/>
      <c r="H76" s="2">
        <v>6310</v>
      </c>
      <c r="I76" s="2">
        <v>6300</v>
      </c>
      <c r="J76" s="2">
        <v>6300</v>
      </c>
      <c r="K76" s="2">
        <v>6300</v>
      </c>
      <c r="L76" s="2">
        <v>6300</v>
      </c>
      <c r="M76" s="2">
        <v>6300</v>
      </c>
      <c r="N76" s="2">
        <v>6300</v>
      </c>
      <c r="O76" s="2">
        <v>6300</v>
      </c>
      <c r="P76" s="2">
        <v>8400</v>
      </c>
      <c r="Q76" s="2">
        <f>231+8400</f>
        <v>8631</v>
      </c>
      <c r="R76" s="2"/>
      <c r="S76" s="2"/>
      <c r="T76" s="2"/>
      <c r="U76" s="2">
        <f t="shared" ref="U76:AA76" si="15">2100+2100+2100</f>
        <v>6300</v>
      </c>
      <c r="V76" s="2">
        <f t="shared" si="15"/>
        <v>6300</v>
      </c>
      <c r="W76" s="2">
        <f t="shared" si="15"/>
        <v>6300</v>
      </c>
      <c r="X76" s="2">
        <f t="shared" si="15"/>
        <v>6300</v>
      </c>
      <c r="Y76" s="2">
        <f t="shared" si="15"/>
        <v>6300</v>
      </c>
      <c r="Z76" s="2">
        <f t="shared" si="15"/>
        <v>6300</v>
      </c>
      <c r="AA76" s="2">
        <f t="shared" si="15"/>
        <v>6300</v>
      </c>
      <c r="AB76" s="2">
        <f>2100+2100+2100+2100</f>
        <v>8400</v>
      </c>
      <c r="AC76" s="2">
        <f>2100+2100+2100+1638+231+231+231</f>
        <v>8631</v>
      </c>
      <c r="AD76" s="2"/>
      <c r="AE76" s="2"/>
      <c r="AF76" s="2"/>
      <c r="AG76" s="28"/>
      <c r="AH76" s="2">
        <v>60900</v>
      </c>
      <c r="AI76" s="2">
        <f t="shared" si="9"/>
        <v>67210</v>
      </c>
      <c r="AJ76" s="2">
        <f t="shared" si="10"/>
        <v>61131</v>
      </c>
      <c r="AK76" s="2">
        <f t="shared" si="11"/>
        <v>61131</v>
      </c>
      <c r="AL76" s="2">
        <f t="shared" si="12"/>
        <v>6079</v>
      </c>
      <c r="AM76" s="2">
        <f t="shared" si="13"/>
        <v>0</v>
      </c>
      <c r="AN76" s="2">
        <f t="shared" si="14"/>
        <v>6079</v>
      </c>
    </row>
    <row r="77" spans="1:40" ht="30.75" customHeight="1" x14ac:dyDescent="0.25">
      <c r="A77" s="55">
        <v>87</v>
      </c>
      <c r="B77" s="11" t="s">
        <v>56</v>
      </c>
      <c r="C77" s="6" t="s">
        <v>147</v>
      </c>
      <c r="D77" s="6" t="s">
        <v>145</v>
      </c>
      <c r="E77" s="1" t="s">
        <v>146</v>
      </c>
      <c r="F77" s="1" t="s">
        <v>37</v>
      </c>
      <c r="G77" s="1"/>
      <c r="H77" s="2">
        <v>2130</v>
      </c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4">
        <v>2130</v>
      </c>
      <c r="AH77" s="2"/>
      <c r="AI77" s="2">
        <f t="shared" si="9"/>
        <v>0</v>
      </c>
      <c r="AJ77" s="2">
        <f t="shared" si="10"/>
        <v>0</v>
      </c>
      <c r="AK77" s="2">
        <f t="shared" si="11"/>
        <v>0</v>
      </c>
      <c r="AL77" s="2">
        <f t="shared" si="12"/>
        <v>0</v>
      </c>
      <c r="AM77" s="2">
        <f t="shared" si="13"/>
        <v>0</v>
      </c>
      <c r="AN77" s="2">
        <f t="shared" si="14"/>
        <v>0</v>
      </c>
    </row>
    <row r="78" spans="1:40" ht="30.75" customHeight="1" x14ac:dyDescent="0.25">
      <c r="A78" s="55">
        <v>88</v>
      </c>
      <c r="B78" s="11" t="s">
        <v>56</v>
      </c>
      <c r="C78" s="14" t="s">
        <v>148</v>
      </c>
      <c r="D78" s="20" t="s">
        <v>63</v>
      </c>
      <c r="E78" s="1" t="s">
        <v>64</v>
      </c>
      <c r="F78" s="1" t="s">
        <v>37</v>
      </c>
      <c r="G78" s="17"/>
      <c r="H78" s="2">
        <v>3122</v>
      </c>
      <c r="I78" s="2"/>
      <c r="J78" s="2"/>
      <c r="K78" s="2"/>
      <c r="L78" s="2"/>
      <c r="M78" s="2"/>
      <c r="N78" s="2">
        <f>1680+1680+420+420</f>
        <v>4200</v>
      </c>
      <c r="O78" s="2">
        <f>420+420+1680</f>
        <v>2520</v>
      </c>
      <c r="P78" s="2"/>
      <c r="Q78" s="2">
        <f>420+840+1680+840+420</f>
        <v>4200</v>
      </c>
      <c r="R78" s="2"/>
      <c r="S78" s="2"/>
      <c r="T78" s="2"/>
      <c r="U78" s="2"/>
      <c r="V78" s="2"/>
      <c r="W78" s="2"/>
      <c r="X78" s="2"/>
      <c r="Y78" s="2"/>
      <c r="Z78" s="2">
        <v>1680</v>
      </c>
      <c r="AA78" s="2">
        <f>1680+420+420</f>
        <v>2520</v>
      </c>
      <c r="AB78" s="2">
        <f>1680+420+420</f>
        <v>2520</v>
      </c>
      <c r="AC78" s="2">
        <f>420+840+1680</f>
        <v>2940</v>
      </c>
      <c r="AD78" s="2"/>
      <c r="AE78" s="2"/>
      <c r="AF78" s="2"/>
      <c r="AG78" s="28"/>
      <c r="AH78" s="2">
        <v>9880</v>
      </c>
      <c r="AI78" s="2">
        <f t="shared" si="9"/>
        <v>13002</v>
      </c>
      <c r="AJ78" s="2">
        <f t="shared" si="10"/>
        <v>10920</v>
      </c>
      <c r="AK78" s="2">
        <f t="shared" si="11"/>
        <v>9660</v>
      </c>
      <c r="AL78" s="2">
        <f t="shared" si="12"/>
        <v>3342</v>
      </c>
      <c r="AM78" s="2">
        <f t="shared" si="13"/>
        <v>1260</v>
      </c>
      <c r="AN78" s="2">
        <f t="shared" si="14"/>
        <v>2082</v>
      </c>
    </row>
    <row r="79" spans="1:40" ht="30.75" customHeight="1" x14ac:dyDescent="0.25">
      <c r="A79" s="55">
        <v>89</v>
      </c>
      <c r="B79" s="11" t="s">
        <v>56</v>
      </c>
      <c r="C79" s="6" t="s">
        <v>181</v>
      </c>
      <c r="D79" s="6" t="s">
        <v>63</v>
      </c>
      <c r="E79" s="1" t="s">
        <v>64</v>
      </c>
      <c r="F79" s="1" t="s">
        <v>37</v>
      </c>
      <c r="G79" s="1"/>
      <c r="H79" s="2">
        <v>99</v>
      </c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8"/>
      <c r="AH79" s="2"/>
      <c r="AI79" s="2">
        <f t="shared" si="9"/>
        <v>99</v>
      </c>
      <c r="AJ79" s="2">
        <f t="shared" si="10"/>
        <v>0</v>
      </c>
      <c r="AK79" s="2">
        <f t="shared" si="11"/>
        <v>0</v>
      </c>
      <c r="AL79" s="2">
        <f t="shared" si="12"/>
        <v>99</v>
      </c>
      <c r="AM79" s="2">
        <f t="shared" si="13"/>
        <v>0</v>
      </c>
      <c r="AN79" s="2">
        <f t="shared" si="14"/>
        <v>99</v>
      </c>
    </row>
    <row r="80" spans="1:40" ht="30.75" customHeight="1" x14ac:dyDescent="0.25">
      <c r="A80" s="55">
        <v>90</v>
      </c>
      <c r="B80" s="11" t="s">
        <v>56</v>
      </c>
      <c r="C80" s="6" t="s">
        <v>182</v>
      </c>
      <c r="D80" s="6" t="s">
        <v>63</v>
      </c>
      <c r="E80" s="1" t="s">
        <v>64</v>
      </c>
      <c r="F80" s="1" t="s">
        <v>37</v>
      </c>
      <c r="G80" s="1"/>
      <c r="H80" s="2">
        <v>99</v>
      </c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8"/>
      <c r="AH80" s="2"/>
      <c r="AI80" s="2">
        <f t="shared" si="9"/>
        <v>99</v>
      </c>
      <c r="AJ80" s="2">
        <f t="shared" si="10"/>
        <v>0</v>
      </c>
      <c r="AK80" s="2">
        <f t="shared" si="11"/>
        <v>0</v>
      </c>
      <c r="AL80" s="2">
        <f t="shared" si="12"/>
        <v>99</v>
      </c>
      <c r="AM80" s="2">
        <f t="shared" si="13"/>
        <v>0</v>
      </c>
      <c r="AN80" s="2">
        <f t="shared" si="14"/>
        <v>99</v>
      </c>
    </row>
    <row r="81" spans="1:40" ht="30.75" customHeight="1" x14ac:dyDescent="0.25">
      <c r="A81" s="55">
        <v>91</v>
      </c>
      <c r="B81" s="11" t="s">
        <v>56</v>
      </c>
      <c r="C81" s="6" t="s">
        <v>184</v>
      </c>
      <c r="D81" s="6" t="s">
        <v>183</v>
      </c>
      <c r="E81" s="1"/>
      <c r="F81" s="1" t="s">
        <v>37</v>
      </c>
      <c r="G81" s="17"/>
      <c r="H81" s="2">
        <v>1</v>
      </c>
      <c r="I81" s="2">
        <v>9329.1200000000008</v>
      </c>
      <c r="J81" s="2">
        <v>12695.1</v>
      </c>
      <c r="K81" s="2">
        <v>12695.1</v>
      </c>
      <c r="L81" s="2">
        <v>12360.12</v>
      </c>
      <c r="M81" s="2">
        <f>363.04+11278.2</f>
        <v>11641.240000000002</v>
      </c>
      <c r="N81" s="2">
        <v>11278.2</v>
      </c>
      <c r="O81" s="2">
        <v>10265.36</v>
      </c>
      <c r="P81" s="2">
        <v>10929.74</v>
      </c>
      <c r="Q81" s="2">
        <v>10771.24</v>
      </c>
      <c r="R81" s="2"/>
      <c r="S81" s="2"/>
      <c r="T81" s="2"/>
      <c r="U81" s="2"/>
      <c r="V81" s="2">
        <f>9329.12+12695.1</f>
        <v>22024.22</v>
      </c>
      <c r="W81" s="2">
        <v>12695.1</v>
      </c>
      <c r="X81" s="2"/>
      <c r="Y81" s="2">
        <f>12360.12+363.04+11278.2</f>
        <v>24001.360000000001</v>
      </c>
      <c r="Z81" s="2"/>
      <c r="AA81" s="2">
        <v>11278.2</v>
      </c>
      <c r="AB81" s="2">
        <v>10265.36</v>
      </c>
      <c r="AC81" s="2">
        <v>10929.74</v>
      </c>
      <c r="AD81" s="2"/>
      <c r="AE81" s="2"/>
      <c r="AF81" s="2"/>
      <c r="AG81" s="4"/>
      <c r="AH81" s="2">
        <v>101965.22</v>
      </c>
      <c r="AI81" s="2">
        <f t="shared" si="9"/>
        <v>101966.22</v>
      </c>
      <c r="AJ81" s="2">
        <f t="shared" si="10"/>
        <v>101965.22000000002</v>
      </c>
      <c r="AK81" s="2">
        <f t="shared" si="11"/>
        <v>91193.98000000001</v>
      </c>
      <c r="AL81" s="2">
        <f t="shared" si="12"/>
        <v>10772.239999999991</v>
      </c>
      <c r="AM81" s="2">
        <f t="shared" si="13"/>
        <v>10771.240000000005</v>
      </c>
      <c r="AN81" s="2">
        <f t="shared" si="14"/>
        <v>0.99999999998544808</v>
      </c>
    </row>
    <row r="82" spans="1:40" ht="30.75" customHeight="1" x14ac:dyDescent="0.25">
      <c r="A82" s="55">
        <v>92</v>
      </c>
      <c r="B82" s="11" t="s">
        <v>56</v>
      </c>
      <c r="C82" s="14" t="s">
        <v>186</v>
      </c>
      <c r="D82" s="6" t="s">
        <v>185</v>
      </c>
      <c r="E82" s="1"/>
      <c r="F82" s="1" t="s">
        <v>37</v>
      </c>
      <c r="G82" s="1"/>
      <c r="H82" s="2">
        <v>1</v>
      </c>
      <c r="I82" s="2">
        <v>5856.45</v>
      </c>
      <c r="J82" s="2">
        <v>5314.02</v>
      </c>
      <c r="K82" s="2">
        <v>5048.8500000000004</v>
      </c>
      <c r="L82" s="2">
        <v>4807.17</v>
      </c>
      <c r="M82" s="2">
        <v>5148.87</v>
      </c>
      <c r="N82" s="2">
        <v>5352.5</v>
      </c>
      <c r="O82" s="2">
        <v>4931.84</v>
      </c>
      <c r="P82" s="2">
        <v>4809.3900000000003</v>
      </c>
      <c r="Q82" s="2">
        <v>4874.0600000000004</v>
      </c>
      <c r="R82" s="2"/>
      <c r="S82" s="2"/>
      <c r="T82" s="2"/>
      <c r="U82" s="2"/>
      <c r="V82" s="2">
        <f>5856.45+5314.02</f>
        <v>11170.470000000001</v>
      </c>
      <c r="W82" s="2">
        <v>5048.8500000000004</v>
      </c>
      <c r="X82" s="2"/>
      <c r="Y82" s="2">
        <f>4807.17+5148.87</f>
        <v>9956.0400000000009</v>
      </c>
      <c r="Z82" s="2"/>
      <c r="AA82" s="2">
        <v>5352.5</v>
      </c>
      <c r="AB82" s="2">
        <v>4931.84</v>
      </c>
      <c r="AC82" s="2">
        <v>4809.3900000000003</v>
      </c>
      <c r="AD82" s="2"/>
      <c r="AE82" s="2"/>
      <c r="AF82" s="2"/>
      <c r="AG82" s="28"/>
      <c r="AH82" s="2">
        <v>46143.15</v>
      </c>
      <c r="AI82" s="2">
        <f t="shared" si="9"/>
        <v>46144.15</v>
      </c>
      <c r="AJ82" s="2">
        <f t="shared" si="10"/>
        <v>46143.149999999994</v>
      </c>
      <c r="AK82" s="2">
        <f t="shared" si="11"/>
        <v>41269.089999999997</v>
      </c>
      <c r="AL82" s="2">
        <f t="shared" si="12"/>
        <v>4875.0600000000049</v>
      </c>
      <c r="AM82" s="2">
        <f t="shared" si="13"/>
        <v>4874.0599999999977</v>
      </c>
      <c r="AN82" s="2">
        <f t="shared" si="14"/>
        <v>1.000000000007276</v>
      </c>
    </row>
    <row r="83" spans="1:40" ht="30.75" customHeight="1" x14ac:dyDescent="0.25">
      <c r="A83" s="55">
        <v>93</v>
      </c>
      <c r="B83" s="11" t="s">
        <v>56</v>
      </c>
      <c r="C83" s="14" t="s">
        <v>189</v>
      </c>
      <c r="D83" s="6" t="s">
        <v>187</v>
      </c>
      <c r="E83" s="1" t="s">
        <v>188</v>
      </c>
      <c r="F83" s="1" t="s">
        <v>36</v>
      </c>
      <c r="G83" s="1"/>
      <c r="H83" s="2">
        <v>3709</v>
      </c>
      <c r="I83" s="2"/>
      <c r="J83" s="2">
        <v>3323.18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>
        <v>3323.18</v>
      </c>
      <c r="W83" s="2"/>
      <c r="X83" s="2"/>
      <c r="Y83" s="2"/>
      <c r="Z83" s="2"/>
      <c r="AA83" s="2"/>
      <c r="AB83" s="2"/>
      <c r="AC83" s="2"/>
      <c r="AD83" s="2"/>
      <c r="AE83" s="2"/>
      <c r="AF83" s="2"/>
      <c r="AG83" s="4">
        <v>4094.82</v>
      </c>
      <c r="AH83" s="2">
        <v>3709</v>
      </c>
      <c r="AI83" s="2">
        <f t="shared" si="9"/>
        <v>3323.18</v>
      </c>
      <c r="AJ83" s="2">
        <f t="shared" si="10"/>
        <v>3323.18</v>
      </c>
      <c r="AK83" s="2">
        <f t="shared" si="11"/>
        <v>3323.18</v>
      </c>
      <c r="AL83" s="2">
        <f t="shared" si="12"/>
        <v>0</v>
      </c>
      <c r="AM83" s="2">
        <f t="shared" si="13"/>
        <v>0</v>
      </c>
      <c r="AN83" s="2">
        <f t="shared" si="14"/>
        <v>0</v>
      </c>
    </row>
    <row r="84" spans="1:40" ht="31.5" customHeight="1" x14ac:dyDescent="0.25">
      <c r="A84" s="55">
        <v>94</v>
      </c>
      <c r="B84" s="11" t="s">
        <v>26</v>
      </c>
      <c r="C84" s="10" t="s">
        <v>192</v>
      </c>
      <c r="D84" s="6" t="s">
        <v>190</v>
      </c>
      <c r="E84" s="1" t="s">
        <v>191</v>
      </c>
      <c r="F84" s="1" t="s">
        <v>36</v>
      </c>
      <c r="G84" s="1"/>
      <c r="H84" s="2">
        <v>8700</v>
      </c>
      <c r="I84" s="2">
        <v>8686.74</v>
      </c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>
        <v>8700</v>
      </c>
      <c r="V84" s="2"/>
      <c r="W84" s="2">
        <v>-13.26</v>
      </c>
      <c r="X84" s="2"/>
      <c r="Y84" s="2"/>
      <c r="Z84" s="2"/>
      <c r="AA84" s="2"/>
      <c r="AB84" s="2"/>
      <c r="AC84" s="2"/>
      <c r="AD84" s="2"/>
      <c r="AE84" s="2"/>
      <c r="AF84" s="2"/>
      <c r="AG84" s="4">
        <v>13.26</v>
      </c>
      <c r="AH84" s="2"/>
      <c r="AI84" s="2">
        <f t="shared" si="9"/>
        <v>8686.74</v>
      </c>
      <c r="AJ84" s="2">
        <f t="shared" si="10"/>
        <v>8686.74</v>
      </c>
      <c r="AK84" s="2">
        <f t="shared" si="11"/>
        <v>8686.74</v>
      </c>
      <c r="AL84" s="2">
        <f t="shared" si="12"/>
        <v>0</v>
      </c>
      <c r="AM84" s="2">
        <f t="shared" si="13"/>
        <v>0</v>
      </c>
      <c r="AN84" s="2">
        <f t="shared" si="14"/>
        <v>0</v>
      </c>
    </row>
    <row r="85" spans="1:40" ht="30.75" customHeight="1" x14ac:dyDescent="0.25">
      <c r="A85" s="55">
        <v>95</v>
      </c>
      <c r="B85" s="11" t="s">
        <v>26</v>
      </c>
      <c r="C85" s="6" t="s">
        <v>192</v>
      </c>
      <c r="D85" s="6" t="s">
        <v>193</v>
      </c>
      <c r="E85" s="1" t="s">
        <v>194</v>
      </c>
      <c r="F85" s="1" t="s">
        <v>36</v>
      </c>
      <c r="G85" s="1"/>
      <c r="H85" s="2">
        <v>8700</v>
      </c>
      <c r="I85" s="2">
        <v>8650</v>
      </c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>
        <v>8700</v>
      </c>
      <c r="V85" s="2"/>
      <c r="W85" s="2"/>
      <c r="X85" s="2"/>
      <c r="Y85" s="2">
        <v>-50</v>
      </c>
      <c r="Z85" s="2"/>
      <c r="AA85" s="2"/>
      <c r="AB85" s="2"/>
      <c r="AC85" s="2"/>
      <c r="AD85" s="2"/>
      <c r="AE85" s="2"/>
      <c r="AF85" s="2"/>
      <c r="AG85" s="4">
        <v>50</v>
      </c>
      <c r="AH85" s="2"/>
      <c r="AI85" s="2">
        <f t="shared" si="9"/>
        <v>8650</v>
      </c>
      <c r="AJ85" s="2">
        <f t="shared" si="10"/>
        <v>8650</v>
      </c>
      <c r="AK85" s="2">
        <f t="shared" si="11"/>
        <v>8650</v>
      </c>
      <c r="AL85" s="2">
        <f t="shared" si="12"/>
        <v>0</v>
      </c>
      <c r="AM85" s="2">
        <f t="shared" si="13"/>
        <v>0</v>
      </c>
      <c r="AN85" s="2">
        <f t="shared" si="14"/>
        <v>0</v>
      </c>
    </row>
    <row r="86" spans="1:40" ht="30.75" customHeight="1" x14ac:dyDescent="0.25">
      <c r="A86" s="55">
        <v>96</v>
      </c>
      <c r="B86" s="11" t="s">
        <v>56</v>
      </c>
      <c r="C86" s="6" t="s">
        <v>119</v>
      </c>
      <c r="D86" s="6" t="s">
        <v>195</v>
      </c>
      <c r="E86" s="1" t="s">
        <v>196</v>
      </c>
      <c r="F86" s="1" t="s">
        <v>36</v>
      </c>
      <c r="G86" s="1"/>
      <c r="H86" s="2">
        <v>10000</v>
      </c>
      <c r="I86" s="2">
        <v>3780</v>
      </c>
      <c r="J86" s="2">
        <v>5500</v>
      </c>
      <c r="K86" s="2">
        <v>4380</v>
      </c>
      <c r="L86" s="2">
        <v>5500</v>
      </c>
      <c r="M86" s="2">
        <v>5500</v>
      </c>
      <c r="N86" s="2">
        <v>5500</v>
      </c>
      <c r="O86" s="2">
        <v>5500</v>
      </c>
      <c r="P86" s="2">
        <v>5500</v>
      </c>
      <c r="Q86" s="2"/>
      <c r="R86" s="2"/>
      <c r="S86" s="2"/>
      <c r="T86" s="2"/>
      <c r="U86" s="2">
        <f>3214.37+149.83+415.8</f>
        <v>3780</v>
      </c>
      <c r="V86" s="2">
        <f>4418.23+476.77+605</f>
        <v>5500</v>
      </c>
      <c r="W86" s="2">
        <f>3657.24+481.8+240.96</f>
        <v>4380</v>
      </c>
      <c r="X86" s="2">
        <f t="shared" ref="X86:Y88" si="16">4444.87+450.13+605</f>
        <v>5500</v>
      </c>
      <c r="Y86" s="2">
        <f t="shared" si="16"/>
        <v>5500</v>
      </c>
      <c r="Z86" s="2">
        <f t="shared" ref="Z86:AA88" si="17">4444.87+605+450.13</f>
        <v>5500</v>
      </c>
      <c r="AA86" s="2">
        <f t="shared" si="17"/>
        <v>5500</v>
      </c>
      <c r="AB86" s="2">
        <f>4444.87+450.13+605</f>
        <v>5500</v>
      </c>
      <c r="AC86" s="2"/>
      <c r="AD86" s="2"/>
      <c r="AE86" s="2"/>
      <c r="AF86" s="2"/>
      <c r="AG86" s="4"/>
      <c r="AH86" s="2">
        <v>32202</v>
      </c>
      <c r="AI86" s="2">
        <f t="shared" si="9"/>
        <v>42202</v>
      </c>
      <c r="AJ86" s="2">
        <f t="shared" si="10"/>
        <v>41160</v>
      </c>
      <c r="AK86" s="2">
        <f t="shared" si="11"/>
        <v>41160</v>
      </c>
      <c r="AL86" s="2">
        <f t="shared" si="12"/>
        <v>1042</v>
      </c>
      <c r="AM86" s="2">
        <f t="shared" si="13"/>
        <v>0</v>
      </c>
      <c r="AN86" s="2">
        <f t="shared" si="14"/>
        <v>1042</v>
      </c>
    </row>
    <row r="87" spans="1:40" ht="31.5" customHeight="1" x14ac:dyDescent="0.25">
      <c r="A87" s="55">
        <v>97</v>
      </c>
      <c r="B87" s="11" t="s">
        <v>56</v>
      </c>
      <c r="C87" s="31" t="s">
        <v>119</v>
      </c>
      <c r="D87" s="6" t="s">
        <v>197</v>
      </c>
      <c r="E87" s="1" t="s">
        <v>198</v>
      </c>
      <c r="F87" s="1" t="s">
        <v>36</v>
      </c>
      <c r="G87" s="1"/>
      <c r="H87" s="25">
        <v>10000</v>
      </c>
      <c r="I87" s="2">
        <v>4280</v>
      </c>
      <c r="J87" s="4">
        <v>5500</v>
      </c>
      <c r="K87" s="2">
        <v>4460</v>
      </c>
      <c r="L87" s="2">
        <v>5500</v>
      </c>
      <c r="M87" s="2">
        <v>5500</v>
      </c>
      <c r="N87" s="58">
        <v>5500</v>
      </c>
      <c r="O87" s="2">
        <v>5500</v>
      </c>
      <c r="P87" s="2">
        <v>5500</v>
      </c>
      <c r="Q87" s="2"/>
      <c r="R87" s="2"/>
      <c r="S87" s="3"/>
      <c r="T87" s="2"/>
      <c r="U87" s="2">
        <f>3588.26+220.94+470.8</f>
        <v>4280</v>
      </c>
      <c r="V87" s="2">
        <f>4418.23+476.77+605</f>
        <v>5500</v>
      </c>
      <c r="W87" s="2">
        <f>3712.42+256.98+490.6</f>
        <v>4460</v>
      </c>
      <c r="X87" s="2">
        <f t="shared" si="16"/>
        <v>5500</v>
      </c>
      <c r="Y87" s="2">
        <f t="shared" si="16"/>
        <v>5500</v>
      </c>
      <c r="Z87" s="2">
        <f t="shared" si="17"/>
        <v>5500</v>
      </c>
      <c r="AA87" s="2">
        <f t="shared" si="17"/>
        <v>5500</v>
      </c>
      <c r="AB87" s="2">
        <f>4444.87+450.13+605</f>
        <v>5500</v>
      </c>
      <c r="AC87" s="2"/>
      <c r="AD87" s="2"/>
      <c r="AE87" s="3"/>
      <c r="AF87" s="2"/>
      <c r="AG87" s="4">
        <v>2000</v>
      </c>
      <c r="AH87" s="2">
        <v>34750</v>
      </c>
      <c r="AI87" s="2">
        <f t="shared" si="9"/>
        <v>42750</v>
      </c>
      <c r="AJ87" s="2">
        <f t="shared" si="10"/>
        <v>41740</v>
      </c>
      <c r="AK87" s="2">
        <f t="shared" si="11"/>
        <v>41740</v>
      </c>
      <c r="AL87" s="2">
        <f t="shared" si="12"/>
        <v>1010</v>
      </c>
      <c r="AM87" s="2">
        <f t="shared" si="13"/>
        <v>0</v>
      </c>
      <c r="AN87" s="2">
        <f t="shared" si="14"/>
        <v>1010</v>
      </c>
    </row>
    <row r="88" spans="1:40" ht="31.5" customHeight="1" x14ac:dyDescent="0.25">
      <c r="A88" s="55">
        <v>98</v>
      </c>
      <c r="B88" s="11" t="s">
        <v>56</v>
      </c>
      <c r="C88" s="6" t="s">
        <v>119</v>
      </c>
      <c r="D88" s="6" t="s">
        <v>199</v>
      </c>
      <c r="E88" s="1" t="s">
        <v>200</v>
      </c>
      <c r="F88" s="1" t="s">
        <v>36</v>
      </c>
      <c r="G88" s="1"/>
      <c r="H88" s="25">
        <v>10000</v>
      </c>
      <c r="I88" s="2">
        <v>3380</v>
      </c>
      <c r="J88" s="4">
        <v>5500</v>
      </c>
      <c r="K88" s="2">
        <v>4380</v>
      </c>
      <c r="L88" s="2">
        <v>5500</v>
      </c>
      <c r="M88" s="2">
        <v>5500</v>
      </c>
      <c r="N88" s="2">
        <v>5500</v>
      </c>
      <c r="O88" s="2">
        <v>5500</v>
      </c>
      <c r="P88" s="2">
        <v>5500</v>
      </c>
      <c r="Q88" s="2"/>
      <c r="R88" s="2"/>
      <c r="S88" s="3"/>
      <c r="T88" s="2"/>
      <c r="U88" s="2">
        <f>2911.27+96.43+371.8</f>
        <v>3379.5</v>
      </c>
      <c r="V88" s="2">
        <f>0.5+4418.23+476.77+605</f>
        <v>5500.5</v>
      </c>
      <c r="W88" s="2">
        <f>3657.24+240.96+481.8</f>
        <v>4380</v>
      </c>
      <c r="X88" s="2">
        <f t="shared" si="16"/>
        <v>5500</v>
      </c>
      <c r="Y88" s="2">
        <f t="shared" si="16"/>
        <v>5500</v>
      </c>
      <c r="Z88" s="2">
        <f t="shared" si="17"/>
        <v>5500</v>
      </c>
      <c r="AA88" s="2">
        <f t="shared" si="17"/>
        <v>5500</v>
      </c>
      <c r="AB88" s="2">
        <f>4444.87+450.13+605</f>
        <v>5500</v>
      </c>
      <c r="AC88" s="2"/>
      <c r="AD88" s="2"/>
      <c r="AE88" s="3"/>
      <c r="AF88" s="2"/>
      <c r="AG88" s="28"/>
      <c r="AH88" s="2">
        <v>31500</v>
      </c>
      <c r="AI88" s="2">
        <f t="shared" si="9"/>
        <v>41500</v>
      </c>
      <c r="AJ88" s="2">
        <f t="shared" si="10"/>
        <v>40760</v>
      </c>
      <c r="AK88" s="2">
        <f t="shared" si="11"/>
        <v>40760</v>
      </c>
      <c r="AL88" s="2">
        <f t="shared" si="12"/>
        <v>740</v>
      </c>
      <c r="AM88" s="2">
        <f t="shared" si="13"/>
        <v>0</v>
      </c>
      <c r="AN88" s="2">
        <f t="shared" si="14"/>
        <v>740</v>
      </c>
    </row>
    <row r="89" spans="1:40" ht="31.5" customHeight="1" x14ac:dyDescent="0.25">
      <c r="A89" s="55">
        <v>99</v>
      </c>
      <c r="B89" s="11" t="s">
        <v>56</v>
      </c>
      <c r="C89" s="6" t="s">
        <v>203</v>
      </c>
      <c r="D89" s="6" t="s">
        <v>201</v>
      </c>
      <c r="E89" s="1" t="s">
        <v>202</v>
      </c>
      <c r="F89" s="1" t="s">
        <v>36</v>
      </c>
      <c r="G89" s="1"/>
      <c r="H89" s="25">
        <v>50001</v>
      </c>
      <c r="I89" s="2"/>
      <c r="J89" s="25">
        <v>49972.15</v>
      </c>
      <c r="K89" s="2"/>
      <c r="L89" s="2"/>
      <c r="M89" s="2"/>
      <c r="N89" s="2"/>
      <c r="O89" s="2"/>
      <c r="P89" s="2"/>
      <c r="Q89" s="2">
        <v>8850.15</v>
      </c>
      <c r="R89" s="2"/>
      <c r="S89" s="3"/>
      <c r="T89" s="2"/>
      <c r="U89" s="2"/>
      <c r="V89" s="2">
        <f>47573.49+2398.66</f>
        <v>49972.149999999994</v>
      </c>
      <c r="W89" s="2"/>
      <c r="X89" s="2"/>
      <c r="Y89" s="2"/>
      <c r="Z89" s="2"/>
      <c r="AA89" s="34"/>
      <c r="AB89" s="2"/>
      <c r="AC89" s="2">
        <f>8425.34+424.81</f>
        <v>8850.15</v>
      </c>
      <c r="AD89" s="2"/>
      <c r="AE89" s="3"/>
      <c r="AF89" s="2"/>
      <c r="AG89" s="57"/>
      <c r="AH89" s="2">
        <v>18000</v>
      </c>
      <c r="AI89" s="2">
        <f t="shared" si="9"/>
        <v>68001</v>
      </c>
      <c r="AJ89" s="2">
        <f t="shared" si="10"/>
        <v>58822.3</v>
      </c>
      <c r="AK89" s="2">
        <f t="shared" si="11"/>
        <v>58822.299999999996</v>
      </c>
      <c r="AL89" s="2">
        <f t="shared" si="12"/>
        <v>9178.7000000000044</v>
      </c>
      <c r="AM89" s="2">
        <f t="shared" si="13"/>
        <v>7.2759576141834259E-12</v>
      </c>
      <c r="AN89" s="2">
        <f t="shared" si="14"/>
        <v>9178.6999999999971</v>
      </c>
    </row>
    <row r="90" spans="1:40" s="24" customFormat="1" ht="31.5" customHeight="1" x14ac:dyDescent="0.25">
      <c r="A90" s="55">
        <v>100</v>
      </c>
      <c r="B90" s="1" t="s">
        <v>56</v>
      </c>
      <c r="C90" s="6" t="s">
        <v>206</v>
      </c>
      <c r="D90" s="6" t="s">
        <v>204</v>
      </c>
      <c r="E90" s="11" t="s">
        <v>205</v>
      </c>
      <c r="F90" s="1" t="s">
        <v>37</v>
      </c>
      <c r="G90" s="11"/>
      <c r="H90" s="25">
        <v>10500</v>
      </c>
      <c r="I90" s="2">
        <v>10500</v>
      </c>
      <c r="J90" s="2"/>
      <c r="K90" s="2"/>
      <c r="L90" s="2"/>
      <c r="M90" s="22"/>
      <c r="N90" s="2"/>
      <c r="O90" s="2"/>
      <c r="P90" s="2"/>
      <c r="Q90" s="2"/>
      <c r="R90" s="22"/>
      <c r="S90" s="2"/>
      <c r="T90" s="2"/>
      <c r="U90" s="2"/>
      <c r="V90" s="2">
        <v>10500</v>
      </c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8"/>
      <c r="AH90" s="2"/>
      <c r="AI90" s="2">
        <f t="shared" si="9"/>
        <v>10500</v>
      </c>
      <c r="AJ90" s="2">
        <f t="shared" si="10"/>
        <v>10500</v>
      </c>
      <c r="AK90" s="2">
        <f t="shared" si="11"/>
        <v>10500</v>
      </c>
      <c r="AL90" s="2">
        <f t="shared" si="12"/>
        <v>0</v>
      </c>
      <c r="AM90" s="2">
        <f t="shared" si="13"/>
        <v>0</v>
      </c>
      <c r="AN90" s="2">
        <f t="shared" si="14"/>
        <v>0</v>
      </c>
    </row>
    <row r="91" spans="1:40" ht="30.75" customHeight="1" x14ac:dyDescent="0.25">
      <c r="A91" s="55">
        <v>101</v>
      </c>
      <c r="B91" s="11" t="s">
        <v>26</v>
      </c>
      <c r="C91" s="6" t="s">
        <v>209</v>
      </c>
      <c r="D91" s="6" t="s">
        <v>207</v>
      </c>
      <c r="E91" s="11" t="s">
        <v>208</v>
      </c>
      <c r="F91" s="1" t="s">
        <v>66</v>
      </c>
      <c r="G91" s="1"/>
      <c r="H91" s="2">
        <v>3574.76</v>
      </c>
      <c r="I91" s="2"/>
      <c r="J91" s="2">
        <v>3574.76</v>
      </c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>
        <v>3574.76</v>
      </c>
      <c r="W91" s="2"/>
      <c r="X91" s="2"/>
      <c r="Y91" s="2"/>
      <c r="Z91" s="2"/>
      <c r="AA91" s="2"/>
      <c r="AB91" s="2"/>
      <c r="AC91" s="2"/>
      <c r="AD91" s="2"/>
      <c r="AE91" s="2"/>
      <c r="AF91" s="2"/>
      <c r="AG91" s="4"/>
      <c r="AH91" s="2"/>
      <c r="AI91" s="2">
        <f t="shared" si="9"/>
        <v>3574.76</v>
      </c>
      <c r="AJ91" s="2">
        <f t="shared" si="10"/>
        <v>3574.76</v>
      </c>
      <c r="AK91" s="2">
        <f t="shared" si="11"/>
        <v>3574.76</v>
      </c>
      <c r="AL91" s="2">
        <f t="shared" si="12"/>
        <v>0</v>
      </c>
      <c r="AM91" s="2">
        <f t="shared" si="13"/>
        <v>0</v>
      </c>
      <c r="AN91" s="2">
        <f t="shared" si="14"/>
        <v>0</v>
      </c>
    </row>
    <row r="92" spans="1:40" ht="30.75" customHeight="1" x14ac:dyDescent="0.25">
      <c r="A92" s="55">
        <v>103</v>
      </c>
      <c r="B92" s="48" t="s">
        <v>56</v>
      </c>
      <c r="C92" s="6" t="s">
        <v>212</v>
      </c>
      <c r="D92" s="6" t="s">
        <v>210</v>
      </c>
      <c r="E92" s="11" t="s">
        <v>211</v>
      </c>
      <c r="F92" s="1" t="s">
        <v>37</v>
      </c>
      <c r="G92" s="1"/>
      <c r="H92" s="2">
        <v>1890</v>
      </c>
      <c r="I92" s="2"/>
      <c r="J92" s="2">
        <v>41.44</v>
      </c>
      <c r="K92" s="2">
        <f>38.08+21</f>
        <v>59.08</v>
      </c>
      <c r="L92" s="2"/>
      <c r="M92" s="2">
        <v>19.5</v>
      </c>
      <c r="N92" s="4">
        <v>22.5</v>
      </c>
      <c r="O92" s="52">
        <v>22.5</v>
      </c>
      <c r="P92" s="2">
        <f>27+28.5</f>
        <v>55.5</v>
      </c>
      <c r="Q92" s="2">
        <v>31.5</v>
      </c>
      <c r="R92" s="2"/>
      <c r="S92" s="2"/>
      <c r="T92" s="2"/>
      <c r="U92" s="2"/>
      <c r="V92" s="2">
        <v>41.44</v>
      </c>
      <c r="W92" s="2">
        <f>38.08+21</f>
        <v>59.08</v>
      </c>
      <c r="X92" s="2"/>
      <c r="Y92" s="2">
        <v>19.5</v>
      </c>
      <c r="Z92" s="2">
        <v>22.5</v>
      </c>
      <c r="AA92" s="52">
        <v>22.5</v>
      </c>
      <c r="AB92" s="2">
        <f>27+28.5</f>
        <v>55.5</v>
      </c>
      <c r="AC92" s="2">
        <v>31.5</v>
      </c>
      <c r="AD92" s="2"/>
      <c r="AE92" s="2"/>
      <c r="AF92" s="2"/>
      <c r="AG92" s="28"/>
      <c r="AH92" s="2"/>
      <c r="AI92" s="2">
        <f t="shared" si="9"/>
        <v>1890</v>
      </c>
      <c r="AJ92" s="2">
        <f t="shared" si="10"/>
        <v>252.01999999999998</v>
      </c>
      <c r="AK92" s="2">
        <f t="shared" si="11"/>
        <v>252.01999999999998</v>
      </c>
      <c r="AL92" s="2">
        <f t="shared" si="12"/>
        <v>1637.98</v>
      </c>
      <c r="AM92" s="2">
        <f t="shared" si="13"/>
        <v>0</v>
      </c>
      <c r="AN92" s="2">
        <f t="shared" si="14"/>
        <v>1637.98</v>
      </c>
    </row>
    <row r="93" spans="1:40" ht="30.75" customHeight="1" x14ac:dyDescent="0.25">
      <c r="A93" s="55">
        <v>104</v>
      </c>
      <c r="B93" s="48" t="s">
        <v>56</v>
      </c>
      <c r="C93" s="15" t="s">
        <v>163</v>
      </c>
      <c r="D93" s="38" t="s">
        <v>214</v>
      </c>
      <c r="E93" s="1" t="s">
        <v>213</v>
      </c>
      <c r="F93" s="1" t="s">
        <v>37</v>
      </c>
      <c r="G93" s="1"/>
      <c r="H93" s="2">
        <v>18000</v>
      </c>
      <c r="I93" s="2"/>
      <c r="J93" s="2">
        <v>18000</v>
      </c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>
        <v>18000</v>
      </c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8"/>
      <c r="AH93" s="2"/>
      <c r="AI93" s="2">
        <f t="shared" si="9"/>
        <v>18000</v>
      </c>
      <c r="AJ93" s="2">
        <f t="shared" si="10"/>
        <v>18000</v>
      </c>
      <c r="AK93" s="2">
        <f t="shared" si="11"/>
        <v>18000</v>
      </c>
      <c r="AL93" s="2">
        <f t="shared" si="12"/>
        <v>0</v>
      </c>
      <c r="AM93" s="2">
        <f t="shared" si="13"/>
        <v>0</v>
      </c>
      <c r="AN93" s="2">
        <f t="shared" si="14"/>
        <v>0</v>
      </c>
    </row>
    <row r="94" spans="1:40" ht="30.75" customHeight="1" x14ac:dyDescent="0.25">
      <c r="A94" s="55">
        <v>109</v>
      </c>
      <c r="B94" s="11" t="s">
        <v>56</v>
      </c>
      <c r="C94" s="9" t="s">
        <v>217</v>
      </c>
      <c r="D94" s="6" t="s">
        <v>215</v>
      </c>
      <c r="E94" s="1" t="s">
        <v>216</v>
      </c>
      <c r="F94" s="1" t="s">
        <v>36</v>
      </c>
      <c r="G94" s="1"/>
      <c r="H94" s="2">
        <v>1473.15</v>
      </c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4">
        <v>1473.15</v>
      </c>
      <c r="AH94" s="2"/>
      <c r="AI94" s="2">
        <f t="shared" si="9"/>
        <v>0</v>
      </c>
      <c r="AJ94" s="2">
        <f t="shared" si="10"/>
        <v>0</v>
      </c>
      <c r="AK94" s="2">
        <f t="shared" si="11"/>
        <v>0</v>
      </c>
      <c r="AL94" s="2">
        <f t="shared" si="12"/>
        <v>0</v>
      </c>
      <c r="AM94" s="2">
        <f t="shared" si="13"/>
        <v>0</v>
      </c>
      <c r="AN94" s="2">
        <f t="shared" si="14"/>
        <v>0</v>
      </c>
    </row>
    <row r="95" spans="1:40" ht="30.75" customHeight="1" x14ac:dyDescent="0.25">
      <c r="A95" s="55">
        <v>110</v>
      </c>
      <c r="B95" s="11" t="s">
        <v>56</v>
      </c>
      <c r="C95" s="15" t="s">
        <v>220</v>
      </c>
      <c r="D95" s="38" t="s">
        <v>218</v>
      </c>
      <c r="E95" s="1" t="s">
        <v>219</v>
      </c>
      <c r="F95" s="1" t="s">
        <v>37</v>
      </c>
      <c r="G95" s="1"/>
      <c r="H95" s="2">
        <v>2837</v>
      </c>
      <c r="I95" s="2"/>
      <c r="J95" s="2">
        <f>428.83+2943.37</f>
        <v>3372.2</v>
      </c>
      <c r="K95" s="2">
        <v>2943.37</v>
      </c>
      <c r="L95" s="2">
        <v>2943.37</v>
      </c>
      <c r="M95" s="2">
        <v>2943.37</v>
      </c>
      <c r="N95" s="2">
        <v>2943.37</v>
      </c>
      <c r="O95" s="2">
        <v>2943.37</v>
      </c>
      <c r="P95" s="2"/>
      <c r="Q95" s="2">
        <f>2943.37+2943.37</f>
        <v>5886.74</v>
      </c>
      <c r="R95" s="2"/>
      <c r="S95" s="2"/>
      <c r="T95" s="2"/>
      <c r="U95" s="2"/>
      <c r="V95" s="2">
        <f>408.25+2802.09+20.58+141.28</f>
        <v>3372.2000000000003</v>
      </c>
      <c r="W95" s="2">
        <f>2802.09+141.28</f>
        <v>2943.3700000000003</v>
      </c>
      <c r="X95" s="2">
        <f>2802.09+141.28</f>
        <v>2943.3700000000003</v>
      </c>
      <c r="Y95" s="2">
        <f>2802.09+141.28</f>
        <v>2943.3700000000003</v>
      </c>
      <c r="Z95" s="2">
        <f>2802.09+141.28</f>
        <v>2943.3700000000003</v>
      </c>
      <c r="AA95" s="2">
        <f>2802.09+141.28</f>
        <v>2943.3700000000003</v>
      </c>
      <c r="AB95" s="2"/>
      <c r="AC95" s="2">
        <f>2802.09+2802.09+141.28+141.28</f>
        <v>5886.74</v>
      </c>
      <c r="AD95" s="2"/>
      <c r="AE95" s="2"/>
      <c r="AF95" s="2"/>
      <c r="AG95" s="4"/>
      <c r="AH95" s="2">
        <v>21252.799999999999</v>
      </c>
      <c r="AI95" s="2">
        <f t="shared" si="9"/>
        <v>24089.8</v>
      </c>
      <c r="AJ95" s="2">
        <f t="shared" si="10"/>
        <v>23975.789999999994</v>
      </c>
      <c r="AK95" s="2">
        <f t="shared" si="11"/>
        <v>23975.79</v>
      </c>
      <c r="AL95" s="2">
        <f t="shared" si="12"/>
        <v>114.0099999999984</v>
      </c>
      <c r="AM95" s="2">
        <f t="shared" si="13"/>
        <v>-7.2759576141834259E-12</v>
      </c>
      <c r="AN95" s="2">
        <f t="shared" si="14"/>
        <v>114.01000000000568</v>
      </c>
    </row>
    <row r="96" spans="1:40" ht="30.75" customHeight="1" x14ac:dyDescent="0.25">
      <c r="A96" s="55">
        <v>111</v>
      </c>
      <c r="B96" s="11" t="s">
        <v>56</v>
      </c>
      <c r="C96" s="9" t="s">
        <v>221</v>
      </c>
      <c r="D96" s="6" t="s">
        <v>218</v>
      </c>
      <c r="E96" s="1" t="s">
        <v>219</v>
      </c>
      <c r="F96" s="1" t="s">
        <v>37</v>
      </c>
      <c r="G96" s="1"/>
      <c r="H96" s="2">
        <v>1466</v>
      </c>
      <c r="I96" s="2"/>
      <c r="J96" s="2">
        <f>221.6+1520.81</f>
        <v>1742.4099999999999</v>
      </c>
      <c r="K96" s="2">
        <v>1520.81</v>
      </c>
      <c r="L96" s="2">
        <v>1520.81</v>
      </c>
      <c r="M96" s="2">
        <v>1520.81</v>
      </c>
      <c r="N96" s="2">
        <v>1520.81</v>
      </c>
      <c r="O96" s="2">
        <v>1520.81</v>
      </c>
      <c r="P96" s="2"/>
      <c r="Q96" s="2">
        <f>1520.81+1520.81</f>
        <v>3041.62</v>
      </c>
      <c r="R96" s="2"/>
      <c r="S96" s="2"/>
      <c r="T96" s="2"/>
      <c r="U96" s="2"/>
      <c r="V96" s="2">
        <f>210.96+1447.81+10.64+73</f>
        <v>1742.41</v>
      </c>
      <c r="W96" s="2">
        <f>1447.81+73</f>
        <v>1520.81</v>
      </c>
      <c r="X96" s="2">
        <f>1447.81+73</f>
        <v>1520.81</v>
      </c>
      <c r="Y96" s="2">
        <f>1447.81+73</f>
        <v>1520.81</v>
      </c>
      <c r="Z96" s="2">
        <f>1447.81+73</f>
        <v>1520.81</v>
      </c>
      <c r="AA96" s="2">
        <f>1447.81+73</f>
        <v>1520.81</v>
      </c>
      <c r="AB96" s="2"/>
      <c r="AC96" s="2">
        <f>1447.81+1447.81+73+73</f>
        <v>3041.62</v>
      </c>
      <c r="AD96" s="2"/>
      <c r="AE96" s="2"/>
      <c r="AF96" s="2"/>
      <c r="AG96" s="57"/>
      <c r="AH96" s="2">
        <v>11380.7</v>
      </c>
      <c r="AI96" s="2">
        <f t="shared" si="9"/>
        <v>12846.7</v>
      </c>
      <c r="AJ96" s="2">
        <f t="shared" si="10"/>
        <v>12388.079999999998</v>
      </c>
      <c r="AK96" s="2">
        <f t="shared" si="11"/>
        <v>12388.079999999998</v>
      </c>
      <c r="AL96" s="2">
        <f t="shared" si="12"/>
        <v>458.62000000000262</v>
      </c>
      <c r="AM96" s="2">
        <f t="shared" si="13"/>
        <v>0</v>
      </c>
      <c r="AN96" s="2">
        <f t="shared" si="14"/>
        <v>458.62000000000262</v>
      </c>
    </row>
    <row r="97" spans="1:40" ht="30.75" customHeight="1" x14ac:dyDescent="0.25">
      <c r="A97" s="55">
        <v>112</v>
      </c>
      <c r="B97" s="11" t="s">
        <v>56</v>
      </c>
      <c r="C97" s="28" t="s">
        <v>224</v>
      </c>
      <c r="D97" s="31" t="s">
        <v>222</v>
      </c>
      <c r="E97" s="1" t="s">
        <v>223</v>
      </c>
      <c r="F97" s="1" t="s">
        <v>36</v>
      </c>
      <c r="G97" s="1"/>
      <c r="H97" s="2">
        <v>10860</v>
      </c>
      <c r="I97" s="2"/>
      <c r="J97" s="2">
        <v>10860</v>
      </c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>
        <v>10860</v>
      </c>
      <c r="W97" s="2"/>
      <c r="X97" s="2"/>
      <c r="Y97" s="2"/>
      <c r="Z97" s="2"/>
      <c r="AA97" s="2"/>
      <c r="AB97" s="2"/>
      <c r="AC97" s="2"/>
      <c r="AD97" s="2"/>
      <c r="AE97" s="2"/>
      <c r="AF97" s="2"/>
      <c r="AG97" s="57"/>
      <c r="AH97" s="2"/>
      <c r="AI97" s="2">
        <f t="shared" si="9"/>
        <v>10860</v>
      </c>
      <c r="AJ97" s="2">
        <f t="shared" si="10"/>
        <v>10860</v>
      </c>
      <c r="AK97" s="2">
        <f t="shared" si="11"/>
        <v>10860</v>
      </c>
      <c r="AL97" s="2">
        <f t="shared" si="12"/>
        <v>0</v>
      </c>
      <c r="AM97" s="2">
        <f t="shared" si="13"/>
        <v>0</v>
      </c>
      <c r="AN97" s="2">
        <f t="shared" si="14"/>
        <v>0</v>
      </c>
    </row>
    <row r="98" spans="1:40" ht="30.75" customHeight="1" x14ac:dyDescent="0.25">
      <c r="A98" s="55">
        <v>115</v>
      </c>
      <c r="B98" s="11" t="s">
        <v>26</v>
      </c>
      <c r="C98" s="15" t="s">
        <v>160</v>
      </c>
      <c r="D98" s="6" t="s">
        <v>225</v>
      </c>
      <c r="E98" s="1" t="s">
        <v>226</v>
      </c>
      <c r="F98" s="1" t="s">
        <v>37</v>
      </c>
      <c r="G98" s="1"/>
      <c r="H98" s="2">
        <v>950</v>
      </c>
      <c r="I98" s="2"/>
      <c r="J98" s="2">
        <v>950</v>
      </c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>
        <v>950</v>
      </c>
      <c r="W98" s="2"/>
      <c r="X98" s="2"/>
      <c r="Y98" s="2"/>
      <c r="Z98" s="2"/>
      <c r="AA98" s="2"/>
      <c r="AB98" s="2"/>
      <c r="AC98" s="2"/>
      <c r="AD98" s="2"/>
      <c r="AE98" s="2"/>
      <c r="AF98" s="2"/>
      <c r="AG98" s="4"/>
      <c r="AH98" s="2"/>
      <c r="AI98" s="2">
        <f t="shared" si="9"/>
        <v>950</v>
      </c>
      <c r="AJ98" s="2">
        <f t="shared" si="10"/>
        <v>950</v>
      </c>
      <c r="AK98" s="2">
        <f t="shared" si="11"/>
        <v>950</v>
      </c>
      <c r="AL98" s="2">
        <f t="shared" si="12"/>
        <v>0</v>
      </c>
      <c r="AM98" s="2">
        <f t="shared" si="13"/>
        <v>0</v>
      </c>
      <c r="AN98" s="2">
        <f t="shared" si="14"/>
        <v>0</v>
      </c>
    </row>
    <row r="99" spans="1:40" ht="30.75" customHeight="1" x14ac:dyDescent="0.25">
      <c r="A99" s="61">
        <v>116</v>
      </c>
      <c r="B99" s="11" t="s">
        <v>26</v>
      </c>
      <c r="C99" s="9" t="s">
        <v>42</v>
      </c>
      <c r="D99" s="6" t="s">
        <v>49</v>
      </c>
      <c r="E99" s="1" t="s">
        <v>50</v>
      </c>
      <c r="F99" s="1" t="s">
        <v>66</v>
      </c>
      <c r="G99" s="1"/>
      <c r="H99" s="2">
        <v>2407.21</v>
      </c>
      <c r="I99" s="2"/>
      <c r="J99" s="2">
        <v>2407.21</v>
      </c>
      <c r="K99" s="2"/>
      <c r="L99" s="2"/>
      <c r="M99" s="2"/>
      <c r="N99" s="2"/>
      <c r="O99" s="2"/>
      <c r="P99" s="2"/>
      <c r="Q99" s="2"/>
      <c r="R99" s="18"/>
      <c r="S99" s="38"/>
      <c r="T99" s="2"/>
      <c r="U99" s="2"/>
      <c r="V99" s="2">
        <v>2407.21</v>
      </c>
      <c r="W99" s="2"/>
      <c r="X99" s="2"/>
      <c r="Y99" s="2"/>
      <c r="Z99" s="52"/>
      <c r="AA99" s="2"/>
      <c r="AB99" s="2"/>
      <c r="AC99" s="2"/>
      <c r="AD99" s="36"/>
      <c r="AE99" s="2"/>
      <c r="AF99" s="2"/>
      <c r="AG99" s="4"/>
      <c r="AH99" s="2"/>
      <c r="AI99" s="2">
        <f t="shared" si="9"/>
        <v>2407.21</v>
      </c>
      <c r="AJ99" s="2">
        <f t="shared" si="10"/>
        <v>2407.21</v>
      </c>
      <c r="AK99" s="2">
        <f t="shared" si="11"/>
        <v>2407.21</v>
      </c>
      <c r="AL99" s="2">
        <f t="shared" si="12"/>
        <v>0</v>
      </c>
      <c r="AM99" s="2">
        <f t="shared" si="13"/>
        <v>0</v>
      </c>
      <c r="AN99" s="2">
        <f t="shared" si="14"/>
        <v>0</v>
      </c>
    </row>
    <row r="100" spans="1:40" ht="30.75" customHeight="1" x14ac:dyDescent="0.25">
      <c r="A100" s="66">
        <v>117</v>
      </c>
      <c r="B100" s="11" t="s">
        <v>56</v>
      </c>
      <c r="C100" s="9" t="s">
        <v>42</v>
      </c>
      <c r="D100" s="6" t="s">
        <v>52</v>
      </c>
      <c r="E100" s="1" t="s">
        <v>53</v>
      </c>
      <c r="F100" s="1" t="s">
        <v>67</v>
      </c>
      <c r="G100" s="1"/>
      <c r="H100" s="2">
        <v>2923.94</v>
      </c>
      <c r="I100" s="2"/>
      <c r="J100" s="2">
        <v>2923.94</v>
      </c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>
        <v>2923.94</v>
      </c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8"/>
      <c r="AH100" s="2"/>
      <c r="AI100" s="2">
        <f t="shared" si="9"/>
        <v>2923.94</v>
      </c>
      <c r="AJ100" s="2">
        <f t="shared" si="10"/>
        <v>2923.94</v>
      </c>
      <c r="AK100" s="2">
        <f t="shared" si="11"/>
        <v>2923.94</v>
      </c>
      <c r="AL100" s="2">
        <f t="shared" si="12"/>
        <v>0</v>
      </c>
      <c r="AM100" s="2">
        <f t="shared" si="13"/>
        <v>0</v>
      </c>
      <c r="AN100" s="2">
        <f t="shared" si="14"/>
        <v>0</v>
      </c>
    </row>
    <row r="101" spans="1:40" ht="30.75" customHeight="1" x14ac:dyDescent="0.25">
      <c r="A101" s="55">
        <v>118</v>
      </c>
      <c r="B101" s="11" t="s">
        <v>56</v>
      </c>
      <c r="C101" s="14" t="s">
        <v>227</v>
      </c>
      <c r="D101" s="6" t="s">
        <v>72</v>
      </c>
      <c r="E101" s="1" t="s">
        <v>73</v>
      </c>
      <c r="F101" s="1" t="s">
        <v>37</v>
      </c>
      <c r="G101" s="1"/>
      <c r="H101" s="2">
        <v>20000</v>
      </c>
      <c r="I101" s="2"/>
      <c r="J101" s="2">
        <v>7173</v>
      </c>
      <c r="K101" s="2"/>
      <c r="L101" s="2"/>
      <c r="M101" s="2"/>
      <c r="N101" s="2"/>
      <c r="O101" s="2">
        <f>9119.03+3707.87</f>
        <v>12826.900000000001</v>
      </c>
      <c r="P101" s="2"/>
      <c r="Q101" s="2"/>
      <c r="R101" s="2"/>
      <c r="S101" s="2"/>
      <c r="T101" s="2"/>
      <c r="U101" s="2"/>
      <c r="V101" s="2">
        <v>7173</v>
      </c>
      <c r="W101" s="2"/>
      <c r="X101" s="2"/>
      <c r="Y101" s="2"/>
      <c r="Z101" s="2"/>
      <c r="AA101" s="2">
        <f>9119.03+3707.87</f>
        <v>12826.900000000001</v>
      </c>
      <c r="AB101" s="2"/>
      <c r="AC101" s="2"/>
      <c r="AD101" s="2"/>
      <c r="AE101" s="2"/>
      <c r="AF101" s="2"/>
      <c r="AG101" s="4"/>
      <c r="AH101" s="2"/>
      <c r="AI101" s="2">
        <f t="shared" si="9"/>
        <v>20000</v>
      </c>
      <c r="AJ101" s="2">
        <f t="shared" si="10"/>
        <v>19999.900000000001</v>
      </c>
      <c r="AK101" s="2">
        <f t="shared" si="11"/>
        <v>19999.900000000001</v>
      </c>
      <c r="AL101" s="2">
        <f t="shared" si="12"/>
        <v>9.9999999998544808E-2</v>
      </c>
      <c r="AM101" s="2">
        <f t="shared" si="13"/>
        <v>0</v>
      </c>
      <c r="AN101" s="2">
        <f t="shared" si="14"/>
        <v>9.9999999998544808E-2</v>
      </c>
    </row>
    <row r="102" spans="1:40" ht="30.75" customHeight="1" x14ac:dyDescent="0.25">
      <c r="A102" s="55">
        <v>119</v>
      </c>
      <c r="B102" s="11" t="s">
        <v>56</v>
      </c>
      <c r="C102" s="28" t="s">
        <v>230</v>
      </c>
      <c r="D102" s="6" t="s">
        <v>141</v>
      </c>
      <c r="E102" s="1" t="s">
        <v>142</v>
      </c>
      <c r="F102" s="1" t="s">
        <v>37</v>
      </c>
      <c r="G102" s="1"/>
      <c r="H102" s="2">
        <v>3495</v>
      </c>
      <c r="I102" s="2"/>
      <c r="J102" s="2">
        <v>41930</v>
      </c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>
        <v>41930</v>
      </c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4"/>
      <c r="AH102" s="2">
        <v>38435</v>
      </c>
      <c r="AI102" s="2">
        <f t="shared" si="9"/>
        <v>41930</v>
      </c>
      <c r="AJ102" s="2">
        <f t="shared" si="10"/>
        <v>41930</v>
      </c>
      <c r="AK102" s="2">
        <f t="shared" si="11"/>
        <v>41930</v>
      </c>
      <c r="AL102" s="2">
        <f t="shared" si="12"/>
        <v>0</v>
      </c>
      <c r="AM102" s="2">
        <f t="shared" si="13"/>
        <v>0</v>
      </c>
      <c r="AN102" s="2">
        <f t="shared" si="14"/>
        <v>0</v>
      </c>
    </row>
    <row r="103" spans="1:40" ht="30.75" customHeight="1" x14ac:dyDescent="0.25">
      <c r="A103" s="55">
        <v>120</v>
      </c>
      <c r="B103" s="11" t="s">
        <v>56</v>
      </c>
      <c r="C103" s="54" t="s">
        <v>131</v>
      </c>
      <c r="D103" s="6" t="s">
        <v>228</v>
      </c>
      <c r="E103" s="1" t="s">
        <v>229</v>
      </c>
      <c r="F103" s="1" t="s">
        <v>37</v>
      </c>
      <c r="G103" s="1"/>
      <c r="H103" s="2">
        <v>6001</v>
      </c>
      <c r="I103" s="2"/>
      <c r="J103" s="2"/>
      <c r="K103" s="2"/>
      <c r="L103" s="2">
        <f>6000+6000+6000</f>
        <v>18000</v>
      </c>
      <c r="M103" s="2">
        <v>6000</v>
      </c>
      <c r="N103" s="2">
        <v>6000</v>
      </c>
      <c r="O103" s="2">
        <v>6000</v>
      </c>
      <c r="P103" s="2">
        <v>6000</v>
      </c>
      <c r="Q103" s="2"/>
      <c r="R103" s="2">
        <v>6000</v>
      </c>
      <c r="S103" s="2"/>
      <c r="T103" s="2"/>
      <c r="U103" s="2"/>
      <c r="V103" s="2"/>
      <c r="W103" s="2"/>
      <c r="X103" s="2">
        <f>6000+6000+6000</f>
        <v>18000</v>
      </c>
      <c r="Y103" s="2">
        <v>6000</v>
      </c>
      <c r="Z103" s="2">
        <v>6000</v>
      </c>
      <c r="AA103" s="2">
        <v>6000</v>
      </c>
      <c r="AB103" s="2">
        <v>6000</v>
      </c>
      <c r="AC103" s="2"/>
      <c r="AD103" s="2">
        <v>6000</v>
      </c>
      <c r="AE103" s="2"/>
      <c r="AF103" s="2"/>
      <c r="AG103" s="4"/>
      <c r="AH103" s="2">
        <v>49000</v>
      </c>
      <c r="AI103" s="2">
        <f t="shared" si="9"/>
        <v>55001</v>
      </c>
      <c r="AJ103" s="2">
        <f t="shared" si="10"/>
        <v>48000</v>
      </c>
      <c r="AK103" s="2">
        <f t="shared" si="11"/>
        <v>48000</v>
      </c>
      <c r="AL103" s="2">
        <f t="shared" si="12"/>
        <v>7001</v>
      </c>
      <c r="AM103" s="2">
        <f t="shared" si="13"/>
        <v>0</v>
      </c>
      <c r="AN103" s="2">
        <f t="shared" si="14"/>
        <v>7001</v>
      </c>
    </row>
    <row r="104" spans="1:40" ht="30.75" customHeight="1" x14ac:dyDescent="0.25">
      <c r="A104" s="55">
        <v>121</v>
      </c>
      <c r="B104" s="11" t="s">
        <v>56</v>
      </c>
      <c r="C104" s="9" t="s">
        <v>233</v>
      </c>
      <c r="D104" s="6" t="s">
        <v>232</v>
      </c>
      <c r="E104" s="1" t="s">
        <v>231</v>
      </c>
      <c r="F104" s="1" t="s">
        <v>37</v>
      </c>
      <c r="G104" s="1"/>
      <c r="H104" s="2">
        <v>100000</v>
      </c>
      <c r="I104" s="10"/>
      <c r="J104" s="2"/>
      <c r="K104" s="2"/>
      <c r="L104" s="2">
        <v>36931.949999999997</v>
      </c>
      <c r="M104" s="2"/>
      <c r="N104" s="2"/>
      <c r="O104" s="2"/>
      <c r="P104" s="2"/>
      <c r="Q104" s="2">
        <f>19971.2+19982.32</f>
        <v>39953.520000000004</v>
      </c>
      <c r="R104" s="2"/>
      <c r="S104" s="2"/>
      <c r="T104" s="2"/>
      <c r="U104" s="2"/>
      <c r="V104" s="2"/>
      <c r="W104" s="2"/>
      <c r="X104" s="2">
        <f>34051.26+443.18+2437.51</f>
        <v>36931.950000000004</v>
      </c>
      <c r="Y104" s="2"/>
      <c r="Z104" s="2"/>
      <c r="AA104" s="2"/>
      <c r="AB104" s="2"/>
      <c r="AC104" s="2">
        <f>19731.55+261.31+16844.29+239.65+1318.1+1318.83+239.79</f>
        <v>39953.520000000004</v>
      </c>
      <c r="AD104" s="2"/>
      <c r="AE104" s="2"/>
      <c r="AF104" s="2"/>
      <c r="AG104" s="28"/>
      <c r="AH104" s="2"/>
      <c r="AI104" s="2">
        <f t="shared" si="9"/>
        <v>100000</v>
      </c>
      <c r="AJ104" s="2">
        <f t="shared" si="10"/>
        <v>76885.47</v>
      </c>
      <c r="AK104" s="2">
        <f t="shared" si="11"/>
        <v>76885.47</v>
      </c>
      <c r="AL104" s="2">
        <f t="shared" si="12"/>
        <v>23114.53</v>
      </c>
      <c r="AM104" s="2">
        <f t="shared" si="13"/>
        <v>0</v>
      </c>
      <c r="AN104" s="2">
        <f t="shared" si="14"/>
        <v>23114.53</v>
      </c>
    </row>
    <row r="105" spans="1:40" ht="30.75" customHeight="1" x14ac:dyDescent="0.25">
      <c r="A105" s="55">
        <v>123</v>
      </c>
      <c r="B105" s="11" t="s">
        <v>56</v>
      </c>
      <c r="C105" s="9" t="s">
        <v>235</v>
      </c>
      <c r="D105" s="6" t="s">
        <v>234</v>
      </c>
      <c r="E105" s="1"/>
      <c r="F105" s="1" t="s">
        <v>112</v>
      </c>
      <c r="G105" s="1"/>
      <c r="H105" s="4">
        <v>1252876.75</v>
      </c>
      <c r="I105" s="2"/>
      <c r="J105" s="2">
        <v>1252875.75</v>
      </c>
      <c r="K105" s="2">
        <f>1258344.04+1264590.69</f>
        <v>2522934.73</v>
      </c>
      <c r="L105" s="4">
        <v>1271298.46</v>
      </c>
      <c r="M105" s="2"/>
      <c r="N105" s="2">
        <f>1264716.53+1272929.03</f>
        <v>2537645.56</v>
      </c>
      <c r="O105" s="2"/>
      <c r="P105" s="2">
        <v>1275777.55</v>
      </c>
      <c r="Q105" s="2">
        <f>1360022.41+1360399.55</f>
        <v>2720421.96</v>
      </c>
      <c r="R105" s="2"/>
      <c r="S105" s="2"/>
      <c r="T105" s="2"/>
      <c r="U105" s="2"/>
      <c r="V105" s="2">
        <v>1252875.75</v>
      </c>
      <c r="W105" s="2">
        <v>1258344.04</v>
      </c>
      <c r="X105" s="4">
        <v>1264590.69</v>
      </c>
      <c r="Y105" s="2">
        <v>1271298.46</v>
      </c>
      <c r="Z105" s="2">
        <v>1264716.53</v>
      </c>
      <c r="AA105" s="2">
        <v>1272929.03</v>
      </c>
      <c r="AB105" s="2">
        <v>1275777.55</v>
      </c>
      <c r="AC105" s="2">
        <v>1360022.41</v>
      </c>
      <c r="AD105" s="2"/>
      <c r="AE105" s="2"/>
      <c r="AF105" s="2"/>
      <c r="AG105" s="28"/>
      <c r="AH105" s="2">
        <v>10345688.08</v>
      </c>
      <c r="AI105" s="2">
        <f t="shared" si="9"/>
        <v>11598564.83</v>
      </c>
      <c r="AJ105" s="2">
        <f t="shared" si="10"/>
        <v>11580954.010000002</v>
      </c>
      <c r="AK105" s="2">
        <f t="shared" si="11"/>
        <v>10220554.460000001</v>
      </c>
      <c r="AL105" s="2">
        <f t="shared" si="12"/>
        <v>1378010.3699999992</v>
      </c>
      <c r="AM105" s="2">
        <f t="shared" si="13"/>
        <v>1360399.5500000007</v>
      </c>
      <c r="AN105" s="2">
        <f t="shared" si="14"/>
        <v>17610.819999998435</v>
      </c>
    </row>
    <row r="106" spans="1:40" ht="31.5" customHeight="1" x14ac:dyDescent="0.25">
      <c r="A106" s="55">
        <v>124</v>
      </c>
      <c r="B106" s="33" t="s">
        <v>56</v>
      </c>
      <c r="C106" s="9" t="s">
        <v>236</v>
      </c>
      <c r="D106" s="6" t="s">
        <v>185</v>
      </c>
      <c r="E106" s="1"/>
      <c r="F106" s="1" t="s">
        <v>112</v>
      </c>
      <c r="G106" s="1"/>
      <c r="H106" s="22">
        <v>542967.48</v>
      </c>
      <c r="I106" s="2"/>
      <c r="J106" s="2">
        <v>542966.48</v>
      </c>
      <c r="K106" s="2">
        <v>520060.82</v>
      </c>
      <c r="L106" s="2">
        <f>519827.74+518436.78</f>
        <v>1038264.52</v>
      </c>
      <c r="M106" s="2"/>
      <c r="N106" s="2">
        <f>515406.22+522332.83</f>
        <v>1037739.05</v>
      </c>
      <c r="O106" s="2"/>
      <c r="P106" s="2">
        <v>515911.22</v>
      </c>
      <c r="Q106" s="2">
        <v>546736.72</v>
      </c>
      <c r="R106" s="2">
        <v>531617.36</v>
      </c>
      <c r="S106" s="2"/>
      <c r="T106" s="34"/>
      <c r="U106" s="2"/>
      <c r="V106" s="2">
        <v>542966.48</v>
      </c>
      <c r="W106" s="2">
        <v>520060.82</v>
      </c>
      <c r="X106" s="2">
        <v>519827.74</v>
      </c>
      <c r="Y106" s="2">
        <v>518436.78</v>
      </c>
      <c r="Z106" s="2">
        <v>515406.22</v>
      </c>
      <c r="AA106" s="2">
        <v>522332.83</v>
      </c>
      <c r="AB106" s="2">
        <v>515911.22</v>
      </c>
      <c r="AC106" s="2">
        <v>546736.72</v>
      </c>
      <c r="AD106" s="2"/>
      <c r="AE106" s="2"/>
      <c r="AF106" s="2"/>
      <c r="AG106" s="4"/>
      <c r="AH106" s="2">
        <v>4212101.6399999997</v>
      </c>
      <c r="AI106" s="2">
        <f t="shared" si="9"/>
        <v>4755069.1199999992</v>
      </c>
      <c r="AJ106" s="2">
        <f t="shared" si="10"/>
        <v>4733296.17</v>
      </c>
      <c r="AK106" s="2">
        <f t="shared" si="11"/>
        <v>4201678.8099999996</v>
      </c>
      <c r="AL106" s="2">
        <f t="shared" si="12"/>
        <v>553390.30999999959</v>
      </c>
      <c r="AM106" s="2">
        <f t="shared" si="13"/>
        <v>531617.36000000034</v>
      </c>
      <c r="AN106" s="2">
        <f t="shared" si="14"/>
        <v>21772.949999999255</v>
      </c>
    </row>
    <row r="107" spans="1:40" s="24" customFormat="1" ht="31.5" customHeight="1" x14ac:dyDescent="0.25">
      <c r="A107" s="55">
        <v>125</v>
      </c>
      <c r="B107" s="11" t="s">
        <v>56</v>
      </c>
      <c r="C107" s="14" t="s">
        <v>203</v>
      </c>
      <c r="D107" s="6" t="s">
        <v>201</v>
      </c>
      <c r="E107" s="1" t="s">
        <v>202</v>
      </c>
      <c r="F107" s="1" t="s">
        <v>37</v>
      </c>
      <c r="G107" s="11"/>
      <c r="H107" s="2">
        <v>76901</v>
      </c>
      <c r="I107" s="2"/>
      <c r="J107" s="2">
        <v>76880</v>
      </c>
      <c r="K107" s="2"/>
      <c r="L107" s="2"/>
      <c r="M107" s="2">
        <f>47200.8+130461.03</f>
        <v>177661.83000000002</v>
      </c>
      <c r="N107" s="2"/>
      <c r="O107" s="2"/>
      <c r="P107" s="2"/>
      <c r="Q107" s="2"/>
      <c r="R107" s="2"/>
      <c r="S107" s="2"/>
      <c r="T107" s="2"/>
      <c r="U107" s="2"/>
      <c r="V107" s="2">
        <f>73189.76+3690.24</f>
        <v>76880</v>
      </c>
      <c r="W107" s="2"/>
      <c r="X107" s="2"/>
      <c r="Y107" s="2">
        <f>44935.16+2265.64</f>
        <v>47200.800000000003</v>
      </c>
      <c r="Z107" s="2">
        <f>124198.9+6262.13</f>
        <v>130461.03</v>
      </c>
      <c r="AA107" s="2"/>
      <c r="AB107" s="2"/>
      <c r="AC107" s="2"/>
      <c r="AD107" s="2"/>
      <c r="AE107" s="2"/>
      <c r="AF107" s="2"/>
      <c r="AG107" s="4"/>
      <c r="AH107" s="2">
        <v>179000</v>
      </c>
      <c r="AI107" s="2">
        <f t="shared" si="9"/>
        <v>255901</v>
      </c>
      <c r="AJ107" s="2">
        <f t="shared" si="10"/>
        <v>254541.83000000002</v>
      </c>
      <c r="AK107" s="2">
        <f t="shared" si="11"/>
        <v>254541.83000000002</v>
      </c>
      <c r="AL107" s="2">
        <f t="shared" si="12"/>
        <v>1359.1699999999837</v>
      </c>
      <c r="AM107" s="2">
        <f t="shared" si="13"/>
        <v>0</v>
      </c>
      <c r="AN107" s="2">
        <f t="shared" si="14"/>
        <v>1359.1699999999837</v>
      </c>
    </row>
    <row r="108" spans="1:40" ht="31.5" customHeight="1" x14ac:dyDescent="0.25">
      <c r="A108" s="55">
        <v>126</v>
      </c>
      <c r="B108" s="11" t="s">
        <v>56</v>
      </c>
      <c r="C108" s="9" t="s">
        <v>235</v>
      </c>
      <c r="D108" s="6" t="s">
        <v>185</v>
      </c>
      <c r="E108" s="1"/>
      <c r="F108" s="1" t="s">
        <v>113</v>
      </c>
      <c r="G108" s="1"/>
      <c r="H108" s="59">
        <v>124907.45</v>
      </c>
      <c r="I108" s="2"/>
      <c r="J108" s="2">
        <v>124906.45</v>
      </c>
      <c r="K108" s="2">
        <f>131465.64+131465.64</f>
        <v>262931.28000000003</v>
      </c>
      <c r="L108" s="2">
        <v>131042.54</v>
      </c>
      <c r="M108" s="2"/>
      <c r="N108" s="2">
        <f>136427.66+131700.71</f>
        <v>268128.37</v>
      </c>
      <c r="O108" s="2"/>
      <c r="P108" s="2">
        <v>135396.04999999999</v>
      </c>
      <c r="Q108" s="2">
        <f>144025.94+144006.21</f>
        <v>288032.15000000002</v>
      </c>
      <c r="R108" s="2"/>
      <c r="S108" s="2"/>
      <c r="T108" s="2"/>
      <c r="U108" s="2"/>
      <c r="V108" s="2">
        <v>124906.45</v>
      </c>
      <c r="W108" s="2">
        <v>131465.64000000001</v>
      </c>
      <c r="X108" s="2">
        <v>131465.64000000001</v>
      </c>
      <c r="Y108" s="2">
        <v>131042.54</v>
      </c>
      <c r="Z108" s="2">
        <v>136427.66</v>
      </c>
      <c r="AA108" s="2">
        <v>131700.71</v>
      </c>
      <c r="AB108" s="2">
        <v>135396.04999999999</v>
      </c>
      <c r="AC108" s="2">
        <v>144025.94</v>
      </c>
      <c r="AD108" s="2"/>
      <c r="AE108" s="2"/>
      <c r="AF108" s="2"/>
      <c r="AG108" s="4"/>
      <c r="AH108" s="2">
        <v>1261056</v>
      </c>
      <c r="AI108" s="2">
        <f t="shared" si="9"/>
        <v>1385963.45</v>
      </c>
      <c r="AJ108" s="2">
        <f t="shared" si="10"/>
        <v>1210436.8399999999</v>
      </c>
      <c r="AK108" s="2">
        <f t="shared" si="11"/>
        <v>1066430.6299999999</v>
      </c>
      <c r="AL108" s="2">
        <f t="shared" si="12"/>
        <v>319532.82000000007</v>
      </c>
      <c r="AM108" s="2">
        <f t="shared" si="13"/>
        <v>144006.20999999996</v>
      </c>
      <c r="AN108" s="2">
        <f t="shared" si="14"/>
        <v>175526.6100000001</v>
      </c>
    </row>
    <row r="109" spans="1:40" ht="31.5" customHeight="1" x14ac:dyDescent="0.25">
      <c r="A109" s="55">
        <v>127</v>
      </c>
      <c r="B109" s="11" t="s">
        <v>56</v>
      </c>
      <c r="C109" s="9" t="s">
        <v>236</v>
      </c>
      <c r="D109" s="6" t="s">
        <v>185</v>
      </c>
      <c r="E109" s="1"/>
      <c r="F109" s="1" t="s">
        <v>113</v>
      </c>
      <c r="G109" s="1"/>
      <c r="H109" s="4">
        <v>22916.89</v>
      </c>
      <c r="I109" s="2"/>
      <c r="J109" s="2">
        <v>22915.89</v>
      </c>
      <c r="K109" s="4">
        <v>23984.41</v>
      </c>
      <c r="L109" s="2">
        <f>23341.93+23341.93</f>
        <v>46683.86</v>
      </c>
      <c r="M109" s="2"/>
      <c r="N109" s="2">
        <f>23341.93+24139.37</f>
        <v>47481.3</v>
      </c>
      <c r="O109" s="2"/>
      <c r="P109" s="2">
        <v>23839.03</v>
      </c>
      <c r="Q109" s="2">
        <f>24963.47+24963.47</f>
        <v>49926.94</v>
      </c>
      <c r="R109" s="2"/>
      <c r="S109" s="2"/>
      <c r="T109" s="2"/>
      <c r="U109" s="2"/>
      <c r="V109" s="2">
        <v>22915.89</v>
      </c>
      <c r="W109" s="4">
        <v>23984.41</v>
      </c>
      <c r="X109" s="2">
        <v>23341.93</v>
      </c>
      <c r="Y109" s="2">
        <v>23341.93</v>
      </c>
      <c r="Z109" s="2">
        <v>23341.93</v>
      </c>
      <c r="AA109" s="2">
        <v>24139.37</v>
      </c>
      <c r="AB109" s="2">
        <v>23839.03</v>
      </c>
      <c r="AC109" s="2">
        <v>24963.47</v>
      </c>
      <c r="AD109" s="2"/>
      <c r="AE109" s="2"/>
      <c r="AF109" s="2"/>
      <c r="AG109" s="28"/>
      <c r="AH109" s="2">
        <v>230362.72</v>
      </c>
      <c r="AI109" s="2">
        <f t="shared" si="9"/>
        <v>253279.61</v>
      </c>
      <c r="AJ109" s="2">
        <f t="shared" si="10"/>
        <v>214831.43000000002</v>
      </c>
      <c r="AK109" s="2">
        <f t="shared" si="11"/>
        <v>189867.96</v>
      </c>
      <c r="AL109" s="2">
        <f t="shared" si="12"/>
        <v>63411.649999999994</v>
      </c>
      <c r="AM109" s="2">
        <f t="shared" si="13"/>
        <v>24963.47000000003</v>
      </c>
      <c r="AN109" s="2">
        <f t="shared" si="14"/>
        <v>38448.179999999964</v>
      </c>
    </row>
    <row r="110" spans="1:40" ht="31.5" customHeight="1" x14ac:dyDescent="0.25">
      <c r="A110" s="55">
        <v>129</v>
      </c>
      <c r="B110" s="11" t="s">
        <v>56</v>
      </c>
      <c r="C110" s="9" t="s">
        <v>227</v>
      </c>
      <c r="D110" s="6" t="s">
        <v>72</v>
      </c>
      <c r="E110" s="1" t="s">
        <v>73</v>
      </c>
      <c r="F110" s="1" t="s">
        <v>37</v>
      </c>
      <c r="G110" s="1"/>
      <c r="H110" s="4">
        <v>20000</v>
      </c>
      <c r="I110" s="2"/>
      <c r="J110" s="2">
        <f>5931.3+28422.42+4660.39</f>
        <v>39014.11</v>
      </c>
      <c r="K110" s="2">
        <f>8296.09+4715.37</f>
        <v>13011.46</v>
      </c>
      <c r="L110" s="2"/>
      <c r="M110" s="2"/>
      <c r="N110" s="2"/>
      <c r="O110" s="2">
        <f>2777.84+1196.59</f>
        <v>3974.4300000000003</v>
      </c>
      <c r="P110" s="2"/>
      <c r="Q110" s="2"/>
      <c r="R110" s="2"/>
      <c r="S110" s="2"/>
      <c r="T110" s="2"/>
      <c r="U110" s="2"/>
      <c r="V110" s="2">
        <f>5931.3+28422.42+4660.39</f>
        <v>39014.11</v>
      </c>
      <c r="W110" s="2">
        <f>8296.09+4715.37</f>
        <v>13011.46</v>
      </c>
      <c r="X110" s="2"/>
      <c r="Y110" s="2"/>
      <c r="Z110" s="2"/>
      <c r="AA110" s="2">
        <f>2777.84+1196.59</f>
        <v>3974.4300000000003</v>
      </c>
      <c r="AB110" s="2"/>
      <c r="AC110" s="2"/>
      <c r="AD110" s="2"/>
      <c r="AE110" s="2"/>
      <c r="AF110" s="2"/>
      <c r="AG110" s="4"/>
      <c r="AH110" s="2">
        <v>36000</v>
      </c>
      <c r="AI110" s="2">
        <f t="shared" si="9"/>
        <v>56000</v>
      </c>
      <c r="AJ110" s="2">
        <f t="shared" si="10"/>
        <v>56000</v>
      </c>
      <c r="AK110" s="2">
        <f t="shared" si="11"/>
        <v>56000</v>
      </c>
      <c r="AL110" s="2">
        <f t="shared" si="12"/>
        <v>0</v>
      </c>
      <c r="AM110" s="2">
        <f t="shared" si="13"/>
        <v>0</v>
      </c>
      <c r="AN110" s="2">
        <f t="shared" si="14"/>
        <v>0</v>
      </c>
    </row>
    <row r="111" spans="1:40" ht="31.5" customHeight="1" x14ac:dyDescent="0.25">
      <c r="A111" s="55">
        <v>131</v>
      </c>
      <c r="B111" s="11" t="s">
        <v>56</v>
      </c>
      <c r="C111" s="28" t="s">
        <v>68</v>
      </c>
      <c r="D111" s="6" t="s">
        <v>40</v>
      </c>
      <c r="E111" s="1" t="s">
        <v>41</v>
      </c>
      <c r="F111" s="1" t="s">
        <v>37</v>
      </c>
      <c r="G111" s="1"/>
      <c r="H111" s="4">
        <v>26520</v>
      </c>
      <c r="I111" s="2"/>
      <c r="J111" s="2">
        <v>13070.81</v>
      </c>
      <c r="K111" s="2">
        <v>13927.82</v>
      </c>
      <c r="L111" s="2">
        <v>13398.15</v>
      </c>
      <c r="M111" s="4">
        <v>10868.05</v>
      </c>
      <c r="N111" s="2">
        <v>14243.64</v>
      </c>
      <c r="O111" s="2">
        <v>10732.97</v>
      </c>
      <c r="P111" s="2">
        <v>59630.35</v>
      </c>
      <c r="Q111" s="2">
        <v>13760.6</v>
      </c>
      <c r="R111" s="2"/>
      <c r="S111" s="2"/>
      <c r="T111" s="2"/>
      <c r="U111" s="2"/>
      <c r="V111" s="2">
        <v>13070.81</v>
      </c>
      <c r="W111" s="2">
        <v>13927.82</v>
      </c>
      <c r="X111" s="2">
        <v>13398.15</v>
      </c>
      <c r="Y111" s="4">
        <v>10868.05</v>
      </c>
      <c r="Z111" s="2">
        <v>14243.64</v>
      </c>
      <c r="AA111" s="2">
        <v>10732.97</v>
      </c>
      <c r="AB111" s="2">
        <v>59630.35</v>
      </c>
      <c r="AC111" s="2">
        <v>13760.6</v>
      </c>
      <c r="AD111" s="2"/>
      <c r="AE111" s="2"/>
      <c r="AF111" s="2"/>
      <c r="AG111" s="52"/>
      <c r="AH111" s="2">
        <v>143430.35</v>
      </c>
      <c r="AI111" s="2">
        <f t="shared" si="9"/>
        <v>169950.35</v>
      </c>
      <c r="AJ111" s="2">
        <f t="shared" si="10"/>
        <v>149632.39000000001</v>
      </c>
      <c r="AK111" s="2">
        <f t="shared" si="11"/>
        <v>149632.39000000001</v>
      </c>
      <c r="AL111" s="2">
        <f t="shared" si="12"/>
        <v>20317.959999999992</v>
      </c>
      <c r="AM111" s="2">
        <f t="shared" si="13"/>
        <v>0</v>
      </c>
      <c r="AN111" s="2">
        <f t="shared" si="14"/>
        <v>20317.959999999992</v>
      </c>
    </row>
    <row r="112" spans="1:40" ht="31.5" customHeight="1" x14ac:dyDescent="0.25">
      <c r="A112" s="55">
        <v>132</v>
      </c>
      <c r="B112" s="11" t="s">
        <v>56</v>
      </c>
      <c r="C112" s="10" t="s">
        <v>68</v>
      </c>
      <c r="D112" s="6" t="s">
        <v>40</v>
      </c>
      <c r="E112" s="1" t="s">
        <v>41</v>
      </c>
      <c r="F112" s="1" t="s">
        <v>67</v>
      </c>
      <c r="G112" s="1"/>
      <c r="H112" s="4">
        <v>30000</v>
      </c>
      <c r="I112" s="2"/>
      <c r="J112" s="2">
        <v>9410.2900000000009</v>
      </c>
      <c r="K112" s="2">
        <v>16097.71</v>
      </c>
      <c r="L112" s="2">
        <v>12855.68</v>
      </c>
      <c r="M112" s="4">
        <v>8772</v>
      </c>
      <c r="N112" s="2">
        <v>11838.38</v>
      </c>
      <c r="O112" s="2">
        <v>13596.51</v>
      </c>
      <c r="P112" s="2">
        <v>13089.65</v>
      </c>
      <c r="Q112" s="2">
        <v>13251.57</v>
      </c>
      <c r="R112" s="2"/>
      <c r="S112" s="2"/>
      <c r="T112" s="2"/>
      <c r="U112" s="2"/>
      <c r="V112" s="2">
        <v>9410.2900000000009</v>
      </c>
      <c r="W112" s="2">
        <v>16097.71</v>
      </c>
      <c r="X112" s="2">
        <v>12855.68</v>
      </c>
      <c r="Y112" s="4">
        <v>8772</v>
      </c>
      <c r="Z112" s="2">
        <v>11838.38</v>
      </c>
      <c r="AA112" s="2">
        <v>13596.51</v>
      </c>
      <c r="AB112" s="2">
        <v>13089.65</v>
      </c>
      <c r="AC112" s="2">
        <v>13251.57</v>
      </c>
      <c r="AD112" s="2"/>
      <c r="AE112" s="2"/>
      <c r="AF112" s="2"/>
      <c r="AG112" s="4"/>
      <c r="AH112" s="2">
        <v>71650</v>
      </c>
      <c r="AI112" s="2">
        <f t="shared" si="9"/>
        <v>101650</v>
      </c>
      <c r="AJ112" s="2">
        <f t="shared" si="10"/>
        <v>98911.789999999979</v>
      </c>
      <c r="AK112" s="2">
        <f t="shared" si="11"/>
        <v>98911.789999999979</v>
      </c>
      <c r="AL112" s="2">
        <f t="shared" si="12"/>
        <v>2738.210000000021</v>
      </c>
      <c r="AM112" s="2">
        <f t="shared" si="13"/>
        <v>0</v>
      </c>
      <c r="AN112" s="2">
        <f t="shared" si="14"/>
        <v>2738.210000000021</v>
      </c>
    </row>
    <row r="113" spans="1:40" ht="30.75" customHeight="1" x14ac:dyDescent="0.25">
      <c r="A113" s="55">
        <v>133</v>
      </c>
      <c r="B113" s="11" t="s">
        <v>56</v>
      </c>
      <c r="C113" s="9" t="s">
        <v>68</v>
      </c>
      <c r="D113" s="9" t="s">
        <v>40</v>
      </c>
      <c r="E113" s="1" t="s">
        <v>41</v>
      </c>
      <c r="F113" s="1" t="s">
        <v>66</v>
      </c>
      <c r="G113" s="1"/>
      <c r="H113" s="4">
        <v>108917.51</v>
      </c>
      <c r="I113" s="2"/>
      <c r="J113" s="2">
        <v>88917.51</v>
      </c>
      <c r="K113" s="2">
        <v>90622.64</v>
      </c>
      <c r="L113" s="2">
        <v>92528.51</v>
      </c>
      <c r="M113" s="2">
        <v>64881.38</v>
      </c>
      <c r="N113" s="2">
        <v>118549.13</v>
      </c>
      <c r="O113" s="2">
        <v>91932.6</v>
      </c>
      <c r="P113" s="22">
        <v>90516.42</v>
      </c>
      <c r="Q113" s="2">
        <v>92980.82</v>
      </c>
      <c r="R113" s="2"/>
      <c r="S113" s="2"/>
      <c r="T113" s="2"/>
      <c r="U113" s="2"/>
      <c r="V113" s="2">
        <v>88917.51</v>
      </c>
      <c r="W113" s="2">
        <v>90622.64</v>
      </c>
      <c r="X113" s="2">
        <v>92528.51</v>
      </c>
      <c r="Y113" s="2">
        <v>64881.38</v>
      </c>
      <c r="Z113" s="2">
        <v>118549.13</v>
      </c>
      <c r="AA113" s="2">
        <v>91932.6</v>
      </c>
      <c r="AB113" s="22">
        <v>90516.42</v>
      </c>
      <c r="AC113" s="2">
        <v>92980.82</v>
      </c>
      <c r="AD113" s="2"/>
      <c r="AE113" s="2"/>
      <c r="AF113" s="2"/>
      <c r="AG113" s="4"/>
      <c r="AH113" s="2">
        <v>643742.65</v>
      </c>
      <c r="AI113" s="2">
        <f t="shared" si="9"/>
        <v>752660.16</v>
      </c>
      <c r="AJ113" s="2">
        <f t="shared" si="10"/>
        <v>730929.01</v>
      </c>
      <c r="AK113" s="2">
        <f t="shared" si="11"/>
        <v>730929.01</v>
      </c>
      <c r="AL113" s="2">
        <f t="shared" si="12"/>
        <v>21731.150000000023</v>
      </c>
      <c r="AM113" s="2">
        <f t="shared" si="13"/>
        <v>0</v>
      </c>
      <c r="AN113" s="2">
        <f t="shared" si="14"/>
        <v>21731.150000000023</v>
      </c>
    </row>
    <row r="114" spans="1:40" ht="31.5" customHeight="1" x14ac:dyDescent="0.25">
      <c r="A114" s="55">
        <v>136</v>
      </c>
      <c r="B114" s="11" t="s">
        <v>26</v>
      </c>
      <c r="C114" s="28" t="s">
        <v>163</v>
      </c>
      <c r="D114" s="6" t="s">
        <v>214</v>
      </c>
      <c r="E114" s="1" t="s">
        <v>213</v>
      </c>
      <c r="F114" s="1" t="s">
        <v>37</v>
      </c>
      <c r="G114" s="1"/>
      <c r="H114" s="4">
        <v>12500</v>
      </c>
      <c r="I114" s="2"/>
      <c r="J114" s="2">
        <v>12500</v>
      </c>
      <c r="K114" s="2"/>
      <c r="L114" s="4"/>
      <c r="M114" s="2"/>
      <c r="N114" s="4"/>
      <c r="O114" s="2"/>
      <c r="P114" s="2"/>
      <c r="Q114" s="2"/>
      <c r="R114" s="2"/>
      <c r="S114" s="2"/>
      <c r="T114" s="2"/>
      <c r="U114" s="2"/>
      <c r="V114" s="2">
        <v>12500</v>
      </c>
      <c r="W114" s="2"/>
      <c r="X114" s="4"/>
      <c r="Y114" s="2"/>
      <c r="Z114" s="4"/>
      <c r="AA114" s="2"/>
      <c r="AB114" s="2"/>
      <c r="AC114" s="2"/>
      <c r="AD114" s="2"/>
      <c r="AE114" s="2"/>
      <c r="AF114" s="2"/>
      <c r="AG114" s="4"/>
      <c r="AH114" s="2"/>
      <c r="AI114" s="2">
        <f t="shared" si="9"/>
        <v>12500</v>
      </c>
      <c r="AJ114" s="2">
        <f t="shared" si="10"/>
        <v>12500</v>
      </c>
      <c r="AK114" s="2">
        <f t="shared" si="11"/>
        <v>12500</v>
      </c>
      <c r="AL114" s="2">
        <f t="shared" si="12"/>
        <v>0</v>
      </c>
      <c r="AM114" s="2">
        <f t="shared" si="13"/>
        <v>0</v>
      </c>
      <c r="AN114" s="2">
        <f t="shared" si="14"/>
        <v>0</v>
      </c>
    </row>
    <row r="115" spans="1:40" ht="31.5" customHeight="1" x14ac:dyDescent="0.25">
      <c r="A115" s="55">
        <v>137</v>
      </c>
      <c r="B115" s="11" t="s">
        <v>26</v>
      </c>
      <c r="C115" s="10" t="s">
        <v>114</v>
      </c>
      <c r="D115" s="6" t="s">
        <v>115</v>
      </c>
      <c r="E115" s="1" t="s">
        <v>116</v>
      </c>
      <c r="F115" s="1" t="s">
        <v>36</v>
      </c>
      <c r="G115" s="1"/>
      <c r="H115" s="2">
        <v>50</v>
      </c>
      <c r="I115" s="2"/>
      <c r="J115" s="2">
        <v>50</v>
      </c>
      <c r="K115" s="2"/>
      <c r="L115" s="2"/>
      <c r="M115" s="18"/>
      <c r="N115" s="2"/>
      <c r="O115" s="2"/>
      <c r="P115" s="2"/>
      <c r="Q115" s="2"/>
      <c r="R115" s="18"/>
      <c r="S115" s="36"/>
      <c r="T115" s="2"/>
      <c r="U115" s="2"/>
      <c r="V115" s="2">
        <v>50</v>
      </c>
      <c r="W115" s="2"/>
      <c r="X115" s="2"/>
      <c r="Y115" s="35"/>
      <c r="Z115" s="2"/>
      <c r="AA115" s="2"/>
      <c r="AB115" s="2"/>
      <c r="AC115" s="2"/>
      <c r="AD115" s="2"/>
      <c r="AE115" s="2"/>
      <c r="AF115" s="2"/>
      <c r="AG115" s="4"/>
      <c r="AH115" s="2"/>
      <c r="AI115" s="2">
        <f t="shared" si="9"/>
        <v>50</v>
      </c>
      <c r="AJ115" s="2">
        <f t="shared" si="10"/>
        <v>50</v>
      </c>
      <c r="AK115" s="2">
        <f t="shared" si="11"/>
        <v>50</v>
      </c>
      <c r="AL115" s="2">
        <f t="shared" si="12"/>
        <v>0</v>
      </c>
      <c r="AM115" s="2">
        <f t="shared" si="13"/>
        <v>0</v>
      </c>
      <c r="AN115" s="2">
        <f t="shared" si="14"/>
        <v>0</v>
      </c>
    </row>
    <row r="116" spans="1:40" ht="31.5" customHeight="1" x14ac:dyDescent="0.25">
      <c r="A116" s="55">
        <v>138</v>
      </c>
      <c r="B116" s="11" t="s">
        <v>56</v>
      </c>
      <c r="C116" s="9" t="s">
        <v>189</v>
      </c>
      <c r="D116" s="6" t="s">
        <v>187</v>
      </c>
      <c r="E116" s="1" t="s">
        <v>188</v>
      </c>
      <c r="F116" s="1" t="s">
        <v>37</v>
      </c>
      <c r="G116" s="1"/>
      <c r="H116" s="2">
        <v>10000</v>
      </c>
      <c r="I116" s="4"/>
      <c r="J116" s="4"/>
      <c r="K116" s="4">
        <v>3201.6</v>
      </c>
      <c r="L116" s="4">
        <v>3803.56</v>
      </c>
      <c r="M116" s="4">
        <v>3838.1</v>
      </c>
      <c r="N116" s="4">
        <v>4641.96</v>
      </c>
      <c r="O116" s="4">
        <v>3718.96</v>
      </c>
      <c r="P116" s="4"/>
      <c r="Q116" s="4">
        <v>4023.21</v>
      </c>
      <c r="R116" s="4">
        <v>4280.3900000000003</v>
      </c>
      <c r="S116" s="4"/>
      <c r="T116" s="4"/>
      <c r="U116" s="4"/>
      <c r="V116" s="4"/>
      <c r="W116" s="4">
        <v>3201.6</v>
      </c>
      <c r="X116" s="4">
        <v>3803.56</v>
      </c>
      <c r="Y116" s="4">
        <v>3838.1</v>
      </c>
      <c r="Z116" s="4">
        <v>4641.96</v>
      </c>
      <c r="AA116" s="4">
        <v>3718.96</v>
      </c>
      <c r="AB116" s="4"/>
      <c r="AC116" s="4">
        <v>4023.21</v>
      </c>
      <c r="AD116" s="4">
        <v>4280.3900000000003</v>
      </c>
      <c r="AE116" s="4"/>
      <c r="AF116" s="4"/>
      <c r="AG116" s="28"/>
      <c r="AH116" s="2">
        <v>32000</v>
      </c>
      <c r="AI116" s="2">
        <f t="shared" si="9"/>
        <v>42000</v>
      </c>
      <c r="AJ116" s="2">
        <f t="shared" si="10"/>
        <v>27507.78</v>
      </c>
      <c r="AK116" s="2">
        <f t="shared" si="11"/>
        <v>27507.78</v>
      </c>
      <c r="AL116" s="2">
        <f t="shared" si="12"/>
        <v>14492.220000000001</v>
      </c>
      <c r="AM116" s="2">
        <f t="shared" si="13"/>
        <v>0</v>
      </c>
      <c r="AN116" s="2">
        <f t="shared" si="14"/>
        <v>14492.220000000001</v>
      </c>
    </row>
    <row r="117" spans="1:40" ht="31.5" customHeight="1" x14ac:dyDescent="0.25">
      <c r="A117" s="55">
        <v>139</v>
      </c>
      <c r="B117" s="11" t="s">
        <v>26</v>
      </c>
      <c r="C117" s="9" t="s">
        <v>163</v>
      </c>
      <c r="D117" s="6" t="s">
        <v>237</v>
      </c>
      <c r="E117" s="17" t="s">
        <v>162</v>
      </c>
      <c r="F117" s="1" t="s">
        <v>37</v>
      </c>
      <c r="G117" s="1"/>
      <c r="H117" s="2">
        <v>14000</v>
      </c>
      <c r="I117" s="4"/>
      <c r="J117" s="4">
        <v>14000</v>
      </c>
      <c r="K117" s="2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>
        <v>14000</v>
      </c>
      <c r="W117" s="2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2"/>
      <c r="AI117" s="2">
        <f t="shared" si="9"/>
        <v>14000</v>
      </c>
      <c r="AJ117" s="2">
        <f t="shared" si="10"/>
        <v>14000</v>
      </c>
      <c r="AK117" s="2">
        <f t="shared" si="11"/>
        <v>14000</v>
      </c>
      <c r="AL117" s="2">
        <f t="shared" si="12"/>
        <v>0</v>
      </c>
      <c r="AM117" s="2">
        <f t="shared" si="13"/>
        <v>0</v>
      </c>
      <c r="AN117" s="2">
        <f t="shared" si="14"/>
        <v>0</v>
      </c>
    </row>
    <row r="118" spans="1:40" ht="30.75" customHeight="1" x14ac:dyDescent="0.25">
      <c r="A118" s="55">
        <v>140</v>
      </c>
      <c r="B118" s="11" t="s">
        <v>26</v>
      </c>
      <c r="C118" s="15" t="s">
        <v>239</v>
      </c>
      <c r="D118" s="38" t="s">
        <v>238</v>
      </c>
      <c r="E118" s="1" t="s">
        <v>70</v>
      </c>
      <c r="F118" s="1" t="s">
        <v>37</v>
      </c>
      <c r="G118" s="1"/>
      <c r="H118" s="4">
        <v>7.99</v>
      </c>
      <c r="I118" s="2"/>
      <c r="J118" s="2">
        <v>7.99</v>
      </c>
      <c r="K118" s="2"/>
      <c r="L118" s="2"/>
      <c r="M118" s="2"/>
      <c r="N118" s="4"/>
      <c r="O118" s="2"/>
      <c r="P118" s="2"/>
      <c r="Q118" s="2"/>
      <c r="R118" s="2"/>
      <c r="S118" s="2"/>
      <c r="T118" s="2"/>
      <c r="U118" s="2"/>
      <c r="V118" s="2">
        <v>7.99</v>
      </c>
      <c r="W118" s="2"/>
      <c r="X118" s="2"/>
      <c r="Y118" s="2"/>
      <c r="Z118" s="4"/>
      <c r="AA118" s="2"/>
      <c r="AB118" s="2"/>
      <c r="AC118" s="2"/>
      <c r="AD118" s="2"/>
      <c r="AE118" s="2"/>
      <c r="AF118" s="2"/>
      <c r="AG118" s="4"/>
      <c r="AH118" s="2"/>
      <c r="AI118" s="2">
        <f t="shared" si="9"/>
        <v>7.99</v>
      </c>
      <c r="AJ118" s="2">
        <f t="shared" si="10"/>
        <v>7.99</v>
      </c>
      <c r="AK118" s="2">
        <f t="shared" si="11"/>
        <v>7.99</v>
      </c>
      <c r="AL118" s="2">
        <f t="shared" si="12"/>
        <v>0</v>
      </c>
      <c r="AM118" s="2">
        <f t="shared" si="13"/>
        <v>0</v>
      </c>
      <c r="AN118" s="2">
        <f t="shared" si="14"/>
        <v>0</v>
      </c>
    </row>
    <row r="119" spans="1:40" ht="31.5" customHeight="1" x14ac:dyDescent="0.25">
      <c r="A119" s="55">
        <v>141</v>
      </c>
      <c r="B119" s="11" t="s">
        <v>26</v>
      </c>
      <c r="C119" s="9" t="s">
        <v>240</v>
      </c>
      <c r="D119" s="6" t="s">
        <v>150</v>
      </c>
      <c r="E119" s="1" t="s">
        <v>152</v>
      </c>
      <c r="F119" s="1" t="s">
        <v>37</v>
      </c>
      <c r="G119" s="17"/>
      <c r="H119" s="4">
        <v>4177.95</v>
      </c>
      <c r="I119" s="2"/>
      <c r="J119" s="2">
        <v>4177.95</v>
      </c>
      <c r="K119" s="2"/>
      <c r="L119" s="2"/>
      <c r="M119" s="2"/>
      <c r="N119" s="4"/>
      <c r="O119" s="2"/>
      <c r="P119" s="2"/>
      <c r="Q119" s="2"/>
      <c r="R119" s="2"/>
      <c r="S119" s="2"/>
      <c r="T119" s="2"/>
      <c r="U119" s="2"/>
      <c r="V119" s="2">
        <f>4177.95+4177.95-4177.95</f>
        <v>4177.95</v>
      </c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8"/>
      <c r="AH119" s="2"/>
      <c r="AI119" s="2">
        <f t="shared" si="9"/>
        <v>4177.95</v>
      </c>
      <c r="AJ119" s="2">
        <f t="shared" si="10"/>
        <v>4177.95</v>
      </c>
      <c r="AK119" s="2">
        <f t="shared" si="11"/>
        <v>4177.95</v>
      </c>
      <c r="AL119" s="2">
        <f t="shared" si="12"/>
        <v>0</v>
      </c>
      <c r="AM119" s="2">
        <f t="shared" si="13"/>
        <v>0</v>
      </c>
      <c r="AN119" s="2">
        <f t="shared" si="14"/>
        <v>0</v>
      </c>
    </row>
    <row r="120" spans="1:40" ht="31.5" customHeight="1" x14ac:dyDescent="0.25">
      <c r="A120" s="55">
        <v>142</v>
      </c>
      <c r="B120" s="11" t="s">
        <v>26</v>
      </c>
      <c r="C120" s="15" t="s">
        <v>42</v>
      </c>
      <c r="D120" s="15" t="s">
        <v>241</v>
      </c>
      <c r="E120" s="1" t="s">
        <v>242</v>
      </c>
      <c r="F120" s="1" t="s">
        <v>66</v>
      </c>
      <c r="G120" s="1"/>
      <c r="H120" s="4">
        <v>521.65</v>
      </c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4">
        <v>521.65</v>
      </c>
      <c r="AH120" s="2"/>
      <c r="AI120" s="2">
        <f t="shared" si="9"/>
        <v>0</v>
      </c>
      <c r="AJ120" s="2">
        <f t="shared" si="10"/>
        <v>0</v>
      </c>
      <c r="AK120" s="2">
        <f t="shared" si="11"/>
        <v>0</v>
      </c>
      <c r="AL120" s="2">
        <f t="shared" si="12"/>
        <v>0</v>
      </c>
      <c r="AM120" s="2">
        <f t="shared" si="13"/>
        <v>0</v>
      </c>
      <c r="AN120" s="2">
        <f t="shared" si="14"/>
        <v>0</v>
      </c>
    </row>
    <row r="121" spans="1:40" ht="30.75" customHeight="1" x14ac:dyDescent="0.25">
      <c r="A121" s="55">
        <v>144</v>
      </c>
      <c r="B121" s="11" t="s">
        <v>26</v>
      </c>
      <c r="C121" s="31" t="s">
        <v>42</v>
      </c>
      <c r="D121" s="15" t="s">
        <v>243</v>
      </c>
      <c r="E121" s="1" t="s">
        <v>244</v>
      </c>
      <c r="F121" s="1" t="s">
        <v>66</v>
      </c>
      <c r="G121" s="1"/>
      <c r="H121" s="4">
        <v>12274.96</v>
      </c>
      <c r="I121" s="2"/>
      <c r="J121" s="2">
        <v>12274.96</v>
      </c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>
        <v>12274.96</v>
      </c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8"/>
      <c r="AH121" s="2"/>
      <c r="AI121" s="2">
        <f t="shared" si="9"/>
        <v>12274.96</v>
      </c>
      <c r="AJ121" s="2">
        <f t="shared" si="10"/>
        <v>12274.96</v>
      </c>
      <c r="AK121" s="2">
        <f t="shared" si="11"/>
        <v>12274.96</v>
      </c>
      <c r="AL121" s="2">
        <f t="shared" si="12"/>
        <v>0</v>
      </c>
      <c r="AM121" s="2">
        <f t="shared" si="13"/>
        <v>0</v>
      </c>
      <c r="AN121" s="2">
        <f t="shared" si="14"/>
        <v>0</v>
      </c>
    </row>
    <row r="122" spans="1:40" ht="31.5" customHeight="1" x14ac:dyDescent="0.25">
      <c r="A122" s="55">
        <v>145</v>
      </c>
      <c r="B122" s="11" t="s">
        <v>26</v>
      </c>
      <c r="C122" s="9" t="s">
        <v>247</v>
      </c>
      <c r="D122" s="6" t="s">
        <v>245</v>
      </c>
      <c r="E122" s="1" t="s">
        <v>246</v>
      </c>
      <c r="F122" s="1" t="s">
        <v>37</v>
      </c>
      <c r="G122" s="1"/>
      <c r="H122" s="4">
        <v>13000</v>
      </c>
      <c r="I122" s="2"/>
      <c r="J122" s="2">
        <v>13000</v>
      </c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>
        <v>13000</v>
      </c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8"/>
      <c r="AH122" s="2"/>
      <c r="AI122" s="2">
        <f t="shared" si="9"/>
        <v>13000</v>
      </c>
      <c r="AJ122" s="2">
        <f t="shared" si="10"/>
        <v>13000</v>
      </c>
      <c r="AK122" s="2">
        <f t="shared" si="11"/>
        <v>13000</v>
      </c>
      <c r="AL122" s="2">
        <f t="shared" si="12"/>
        <v>0</v>
      </c>
      <c r="AM122" s="2">
        <f t="shared" si="13"/>
        <v>0</v>
      </c>
      <c r="AN122" s="2">
        <f t="shared" si="14"/>
        <v>0</v>
      </c>
    </row>
    <row r="123" spans="1:40" ht="31.5" customHeight="1" x14ac:dyDescent="0.25">
      <c r="A123" s="55">
        <v>150</v>
      </c>
      <c r="B123" s="11" t="s">
        <v>56</v>
      </c>
      <c r="C123" s="9" t="s">
        <v>110</v>
      </c>
      <c r="D123" s="6" t="s">
        <v>248</v>
      </c>
      <c r="E123" s="1"/>
      <c r="F123" s="1" t="s">
        <v>67</v>
      </c>
      <c r="G123" s="1"/>
      <c r="H123" s="4">
        <v>1</v>
      </c>
      <c r="I123" s="2"/>
      <c r="J123" s="2">
        <f>619754.05+8414.83</f>
        <v>628168.88</v>
      </c>
      <c r="K123" s="2">
        <f>612402.13+21744.61</f>
        <v>634146.74</v>
      </c>
      <c r="L123" s="2"/>
      <c r="M123" s="2">
        <f>635897.33+25319.36</f>
        <v>661216.68999999994</v>
      </c>
      <c r="N123" s="2"/>
      <c r="O123" s="2"/>
      <c r="P123" s="2"/>
      <c r="Q123" s="2"/>
      <c r="R123" s="2"/>
      <c r="S123" s="2"/>
      <c r="T123" s="2"/>
      <c r="U123" s="2"/>
      <c r="V123" s="2">
        <f>414250.2+66098.95+351.54+47058.73+75.27+6871.05+61.7+3115.11+41.57+416+336+65087.14+534+23780.41+91.21</f>
        <v>628168.88</v>
      </c>
      <c r="W123" s="2">
        <f>410552.93+5727.54+4776.95+64856.1+351.54+23145.93+48944.35+75.27+6871.05+91.21+3115.11+41.57+416+336+64315.19+530</f>
        <v>634146.74</v>
      </c>
      <c r="X123" s="2"/>
      <c r="Y123" s="2">
        <f>427370.14+4789.68+5740.26+67663.15+351.54+23145.93+49472.54+75.27+6876.84+75.26+91.21+3115.11+41.57+416+336+66782.18+522</f>
        <v>656864.67999999993</v>
      </c>
      <c r="Z123" s="2">
        <f>4352.01</f>
        <v>4352.01</v>
      </c>
      <c r="AA123" s="2"/>
      <c r="AB123" s="2"/>
      <c r="AC123" s="2"/>
      <c r="AD123" s="2"/>
      <c r="AE123" s="2"/>
      <c r="AF123" s="2"/>
      <c r="AG123" s="4"/>
      <c r="AH123" s="2">
        <v>1923532.31</v>
      </c>
      <c r="AI123" s="2">
        <f t="shared" si="9"/>
        <v>1923533.31</v>
      </c>
      <c r="AJ123" s="2">
        <f t="shared" si="10"/>
        <v>1923532.31</v>
      </c>
      <c r="AK123" s="2">
        <f t="shared" si="11"/>
        <v>1923532.31</v>
      </c>
      <c r="AL123" s="2">
        <f t="shared" si="12"/>
        <v>1</v>
      </c>
      <c r="AM123" s="2">
        <f t="shared" si="13"/>
        <v>0</v>
      </c>
      <c r="AN123" s="2">
        <f t="shared" si="14"/>
        <v>1</v>
      </c>
    </row>
    <row r="124" spans="1:40" ht="31.5" customHeight="1" x14ac:dyDescent="0.25">
      <c r="A124" s="55">
        <v>170</v>
      </c>
      <c r="B124" s="11" t="s">
        <v>56</v>
      </c>
      <c r="C124" s="9" t="s">
        <v>251</v>
      </c>
      <c r="D124" s="6" t="s">
        <v>249</v>
      </c>
      <c r="E124" s="1" t="s">
        <v>250</v>
      </c>
      <c r="F124" s="1" t="s">
        <v>36</v>
      </c>
      <c r="G124" s="1"/>
      <c r="H124" s="4">
        <v>32940</v>
      </c>
      <c r="I124" s="2"/>
      <c r="J124" s="2">
        <v>32940</v>
      </c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>
        <v>32940</v>
      </c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4"/>
      <c r="AH124" s="2"/>
      <c r="AI124" s="2">
        <f t="shared" si="9"/>
        <v>32940</v>
      </c>
      <c r="AJ124" s="2">
        <f t="shared" si="10"/>
        <v>32940</v>
      </c>
      <c r="AK124" s="2">
        <f t="shared" si="11"/>
        <v>32940</v>
      </c>
      <c r="AL124" s="2">
        <f t="shared" si="12"/>
        <v>0</v>
      </c>
      <c r="AM124" s="2">
        <f t="shared" si="13"/>
        <v>0</v>
      </c>
      <c r="AN124" s="2">
        <f t="shared" si="14"/>
        <v>0</v>
      </c>
    </row>
    <row r="125" spans="1:40" ht="30.75" customHeight="1" x14ac:dyDescent="0.25">
      <c r="A125" s="55">
        <v>175</v>
      </c>
      <c r="B125" s="11" t="s">
        <v>26</v>
      </c>
      <c r="C125" s="9" t="s">
        <v>114</v>
      </c>
      <c r="D125" s="6" t="s">
        <v>115</v>
      </c>
      <c r="E125" s="1" t="s">
        <v>116</v>
      </c>
      <c r="F125" s="1" t="s">
        <v>36</v>
      </c>
      <c r="G125" s="1"/>
      <c r="H125" s="4">
        <v>25</v>
      </c>
      <c r="I125" s="2"/>
      <c r="J125" s="2">
        <v>25</v>
      </c>
      <c r="K125" s="2"/>
      <c r="L125" s="2"/>
      <c r="M125" s="2"/>
      <c r="N125" s="2"/>
      <c r="O125" s="2"/>
      <c r="P125" s="2"/>
      <c r="Q125" s="2"/>
      <c r="R125" s="18"/>
      <c r="S125" s="38"/>
      <c r="T125" s="2"/>
      <c r="U125" s="2"/>
      <c r="V125" s="2">
        <v>25</v>
      </c>
      <c r="W125" s="2"/>
      <c r="X125" s="2"/>
      <c r="Y125" s="2"/>
      <c r="Z125" s="2"/>
      <c r="AA125" s="2"/>
      <c r="AB125" s="2"/>
      <c r="AC125" s="2"/>
      <c r="AD125" s="18"/>
      <c r="AE125" s="38"/>
      <c r="AF125" s="2"/>
      <c r="AG125" s="4"/>
      <c r="AH125" s="2"/>
      <c r="AI125" s="2">
        <f t="shared" si="9"/>
        <v>25</v>
      </c>
      <c r="AJ125" s="2">
        <f t="shared" si="10"/>
        <v>25</v>
      </c>
      <c r="AK125" s="2">
        <f t="shared" si="11"/>
        <v>25</v>
      </c>
      <c r="AL125" s="2">
        <f t="shared" si="12"/>
        <v>0</v>
      </c>
      <c r="AM125" s="2">
        <f t="shared" si="13"/>
        <v>0</v>
      </c>
      <c r="AN125" s="2">
        <f t="shared" si="14"/>
        <v>0</v>
      </c>
    </row>
    <row r="126" spans="1:40" ht="31.5" customHeight="1" x14ac:dyDescent="0.25">
      <c r="A126" s="55">
        <v>176</v>
      </c>
      <c r="B126" s="11" t="s">
        <v>26</v>
      </c>
      <c r="C126" s="9" t="s">
        <v>94</v>
      </c>
      <c r="D126" s="6" t="s">
        <v>92</v>
      </c>
      <c r="E126" s="1" t="s">
        <v>93</v>
      </c>
      <c r="F126" s="1" t="s">
        <v>36</v>
      </c>
      <c r="G126" s="1"/>
      <c r="H126" s="4">
        <v>900</v>
      </c>
      <c r="I126" s="2"/>
      <c r="J126" s="2">
        <v>900</v>
      </c>
      <c r="K126" s="2"/>
      <c r="L126" s="2"/>
      <c r="M126" s="4"/>
      <c r="N126" s="2"/>
      <c r="O126" s="2"/>
      <c r="P126" s="2"/>
      <c r="Q126" s="2"/>
      <c r="R126" s="2"/>
      <c r="S126" s="2"/>
      <c r="T126" s="2"/>
      <c r="U126" s="2"/>
      <c r="V126" s="2">
        <v>900</v>
      </c>
      <c r="W126" s="2"/>
      <c r="X126" s="2"/>
      <c r="Y126" s="4"/>
      <c r="Z126" s="2"/>
      <c r="AA126" s="2"/>
      <c r="AB126" s="2"/>
      <c r="AC126" s="2"/>
      <c r="AD126" s="2"/>
      <c r="AE126" s="2"/>
      <c r="AF126" s="2"/>
      <c r="AG126" s="4"/>
      <c r="AH126" s="2"/>
      <c r="AI126" s="2">
        <f t="shared" si="9"/>
        <v>900</v>
      </c>
      <c r="AJ126" s="2">
        <f t="shared" si="10"/>
        <v>900</v>
      </c>
      <c r="AK126" s="2">
        <f t="shared" si="11"/>
        <v>900</v>
      </c>
      <c r="AL126" s="2">
        <f t="shared" si="12"/>
        <v>0</v>
      </c>
      <c r="AM126" s="2">
        <f t="shared" si="13"/>
        <v>0</v>
      </c>
      <c r="AN126" s="2">
        <f t="shared" si="14"/>
        <v>0</v>
      </c>
    </row>
    <row r="127" spans="1:40" ht="31.5" customHeight="1" x14ac:dyDescent="0.25">
      <c r="A127" s="55">
        <v>180</v>
      </c>
      <c r="B127" s="11" t="s">
        <v>26</v>
      </c>
      <c r="C127" s="9" t="s">
        <v>209</v>
      </c>
      <c r="D127" s="6" t="s">
        <v>252</v>
      </c>
      <c r="E127" s="1" t="s">
        <v>253</v>
      </c>
      <c r="F127" s="1" t="s">
        <v>66</v>
      </c>
      <c r="G127" s="1"/>
      <c r="H127" s="4">
        <v>1832.28</v>
      </c>
      <c r="I127" s="2"/>
      <c r="J127" s="2"/>
      <c r="K127" s="2">
        <v>1832.28</v>
      </c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>
        <v>1832.28</v>
      </c>
      <c r="X127" s="2"/>
      <c r="Y127" s="2"/>
      <c r="Z127" s="2"/>
      <c r="AA127" s="2"/>
      <c r="AB127" s="2"/>
      <c r="AC127" s="2"/>
      <c r="AD127" s="2"/>
      <c r="AE127" s="2"/>
      <c r="AF127" s="2"/>
      <c r="AG127" s="4"/>
      <c r="AH127" s="2"/>
      <c r="AI127" s="2">
        <f t="shared" si="9"/>
        <v>1832.28</v>
      </c>
      <c r="AJ127" s="2">
        <f t="shared" si="10"/>
        <v>1832.28</v>
      </c>
      <c r="AK127" s="2">
        <f t="shared" si="11"/>
        <v>1832.28</v>
      </c>
      <c r="AL127" s="2">
        <f t="shared" si="12"/>
        <v>0</v>
      </c>
      <c r="AM127" s="2">
        <f t="shared" si="13"/>
        <v>0</v>
      </c>
      <c r="AN127" s="2">
        <f t="shared" si="14"/>
        <v>0</v>
      </c>
    </row>
    <row r="128" spans="1:40" ht="30.75" customHeight="1" x14ac:dyDescent="0.25">
      <c r="A128" s="55">
        <v>181</v>
      </c>
      <c r="B128" s="11" t="s">
        <v>26</v>
      </c>
      <c r="C128" s="9" t="s">
        <v>42</v>
      </c>
      <c r="D128" s="6" t="s">
        <v>254</v>
      </c>
      <c r="E128" s="1" t="s">
        <v>255</v>
      </c>
      <c r="F128" s="1" t="s">
        <v>66</v>
      </c>
      <c r="G128" s="1"/>
      <c r="H128" s="4">
        <v>7348.2</v>
      </c>
      <c r="I128" s="2"/>
      <c r="J128" s="2"/>
      <c r="K128" s="2">
        <v>7348.2</v>
      </c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>
        <v>7348.2</v>
      </c>
      <c r="X128" s="2"/>
      <c r="Y128" s="2"/>
      <c r="Z128" s="2"/>
      <c r="AA128" s="2"/>
      <c r="AB128" s="2"/>
      <c r="AC128" s="2"/>
      <c r="AD128" s="2"/>
      <c r="AE128" s="2"/>
      <c r="AF128" s="2"/>
      <c r="AG128" s="4"/>
      <c r="AH128" s="2"/>
      <c r="AI128" s="2">
        <f t="shared" si="9"/>
        <v>7348.2</v>
      </c>
      <c r="AJ128" s="2">
        <f t="shared" si="10"/>
        <v>7348.2</v>
      </c>
      <c r="AK128" s="2">
        <f t="shared" si="11"/>
        <v>7348.2</v>
      </c>
      <c r="AL128" s="2">
        <f t="shared" si="12"/>
        <v>0</v>
      </c>
      <c r="AM128" s="2">
        <f t="shared" si="13"/>
        <v>0</v>
      </c>
      <c r="AN128" s="2">
        <f t="shared" si="14"/>
        <v>0</v>
      </c>
    </row>
    <row r="129" spans="1:40" ht="30.75" customHeight="1" x14ac:dyDescent="0.25">
      <c r="A129" s="55">
        <v>183</v>
      </c>
      <c r="B129" s="11" t="s">
        <v>56</v>
      </c>
      <c r="C129" s="9" t="s">
        <v>258</v>
      </c>
      <c r="D129" s="6" t="s">
        <v>256</v>
      </c>
      <c r="E129" s="1" t="s">
        <v>257</v>
      </c>
      <c r="F129" s="1" t="s">
        <v>36</v>
      </c>
      <c r="G129" s="1"/>
      <c r="H129" s="4">
        <v>7488.88</v>
      </c>
      <c r="I129" s="2"/>
      <c r="J129" s="2"/>
      <c r="K129" s="2">
        <v>7488.88</v>
      </c>
      <c r="L129" s="2"/>
      <c r="M129" s="2"/>
      <c r="N129" s="2"/>
      <c r="O129" s="4"/>
      <c r="P129" s="2"/>
      <c r="Q129" s="2"/>
      <c r="R129" s="2"/>
      <c r="S129" s="2"/>
      <c r="T129" s="2"/>
      <c r="U129" s="2"/>
      <c r="V129" s="2"/>
      <c r="W129" s="2">
        <v>7488.88</v>
      </c>
      <c r="X129" s="2"/>
      <c r="Y129" s="2"/>
      <c r="Z129" s="2"/>
      <c r="AA129" s="4"/>
      <c r="AB129" s="2"/>
      <c r="AC129" s="2"/>
      <c r="AD129" s="2"/>
      <c r="AE129" s="2"/>
      <c r="AF129" s="2"/>
      <c r="AG129" s="4"/>
      <c r="AH129" s="2"/>
      <c r="AI129" s="2">
        <f t="shared" si="9"/>
        <v>7488.88</v>
      </c>
      <c r="AJ129" s="2">
        <f t="shared" si="10"/>
        <v>7488.88</v>
      </c>
      <c r="AK129" s="2">
        <f t="shared" si="11"/>
        <v>7488.88</v>
      </c>
      <c r="AL129" s="2">
        <f t="shared" si="12"/>
        <v>0</v>
      </c>
      <c r="AM129" s="2">
        <f t="shared" si="13"/>
        <v>0</v>
      </c>
      <c r="AN129" s="2">
        <f t="shared" si="14"/>
        <v>0</v>
      </c>
    </row>
    <row r="130" spans="1:40" ht="30.75" customHeight="1" x14ac:dyDescent="0.25">
      <c r="A130" s="55">
        <v>187</v>
      </c>
      <c r="B130" s="11" t="s">
        <v>26</v>
      </c>
      <c r="C130" s="9" t="s">
        <v>209</v>
      </c>
      <c r="D130" s="6" t="s">
        <v>259</v>
      </c>
      <c r="E130" s="1" t="s">
        <v>260</v>
      </c>
      <c r="F130" s="1" t="s">
        <v>66</v>
      </c>
      <c r="G130" s="1"/>
      <c r="H130" s="4">
        <v>4940.97</v>
      </c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4">
        <v>4940.97</v>
      </c>
      <c r="AH130" s="2"/>
      <c r="AI130" s="2">
        <f t="shared" si="9"/>
        <v>0</v>
      </c>
      <c r="AJ130" s="2">
        <f t="shared" si="10"/>
        <v>0</v>
      </c>
      <c r="AK130" s="2">
        <f t="shared" si="11"/>
        <v>0</v>
      </c>
      <c r="AL130" s="2">
        <f t="shared" si="12"/>
        <v>0</v>
      </c>
      <c r="AM130" s="2">
        <f t="shared" si="13"/>
        <v>0</v>
      </c>
      <c r="AN130" s="2">
        <f t="shared" si="14"/>
        <v>0</v>
      </c>
    </row>
    <row r="131" spans="1:40" ht="31.5" customHeight="1" x14ac:dyDescent="0.25">
      <c r="A131" s="55">
        <v>188</v>
      </c>
      <c r="B131" s="11" t="s">
        <v>56</v>
      </c>
      <c r="C131" s="9" t="s">
        <v>209</v>
      </c>
      <c r="D131" s="6" t="s">
        <v>259</v>
      </c>
      <c r="E131" s="1" t="s">
        <v>260</v>
      </c>
      <c r="F131" s="1" t="s">
        <v>66</v>
      </c>
      <c r="G131" s="1"/>
      <c r="H131" s="4">
        <v>4940.97</v>
      </c>
      <c r="I131" s="2"/>
      <c r="J131" s="2"/>
      <c r="K131" s="2">
        <v>4940.97</v>
      </c>
      <c r="L131" s="2"/>
      <c r="M131" s="4"/>
      <c r="N131" s="4"/>
      <c r="O131" s="2"/>
      <c r="P131" s="2"/>
      <c r="Q131" s="2"/>
      <c r="R131" s="2"/>
      <c r="S131" s="2"/>
      <c r="T131" s="2"/>
      <c r="U131" s="2"/>
      <c r="V131" s="2"/>
      <c r="W131" s="2">
        <f>4619.1+321.87</f>
        <v>4940.97</v>
      </c>
      <c r="X131" s="2"/>
      <c r="Y131" s="4"/>
      <c r="Z131" s="2"/>
      <c r="AA131" s="2"/>
      <c r="AB131" s="2"/>
      <c r="AC131" s="2"/>
      <c r="AD131" s="2"/>
      <c r="AE131" s="2"/>
      <c r="AF131" s="2"/>
      <c r="AG131" s="4"/>
      <c r="AH131" s="2"/>
      <c r="AI131" s="2">
        <f t="shared" si="9"/>
        <v>4940.97</v>
      </c>
      <c r="AJ131" s="2">
        <f t="shared" si="10"/>
        <v>4940.97</v>
      </c>
      <c r="AK131" s="2">
        <f t="shared" si="11"/>
        <v>4940.97</v>
      </c>
      <c r="AL131" s="2">
        <f t="shared" si="12"/>
        <v>0</v>
      </c>
      <c r="AM131" s="2">
        <f t="shared" si="13"/>
        <v>0</v>
      </c>
      <c r="AN131" s="2">
        <f t="shared" si="14"/>
        <v>0</v>
      </c>
    </row>
    <row r="132" spans="1:40" ht="30.75" customHeight="1" x14ac:dyDescent="0.25">
      <c r="A132" s="55">
        <v>201</v>
      </c>
      <c r="B132" s="11" t="s">
        <v>26</v>
      </c>
      <c r="C132" s="9" t="s">
        <v>94</v>
      </c>
      <c r="D132" s="6" t="s">
        <v>92</v>
      </c>
      <c r="E132" s="1" t="s">
        <v>93</v>
      </c>
      <c r="F132" s="1" t="s">
        <v>36</v>
      </c>
      <c r="G132" s="1"/>
      <c r="H132" s="2">
        <v>900</v>
      </c>
      <c r="I132" s="2"/>
      <c r="J132" s="2"/>
      <c r="K132" s="2">
        <v>900</v>
      </c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>
        <v>900</v>
      </c>
      <c r="X132" s="2"/>
      <c r="Y132" s="2"/>
      <c r="Z132" s="2"/>
      <c r="AA132" s="2"/>
      <c r="AB132" s="2"/>
      <c r="AC132" s="2"/>
      <c r="AD132" s="2"/>
      <c r="AE132" s="2"/>
      <c r="AF132" s="2"/>
      <c r="AG132" s="28"/>
      <c r="AH132" s="2"/>
      <c r="AI132" s="2">
        <f t="shared" si="9"/>
        <v>900</v>
      </c>
      <c r="AJ132" s="2">
        <f t="shared" si="10"/>
        <v>900</v>
      </c>
      <c r="AK132" s="2">
        <f t="shared" si="11"/>
        <v>900</v>
      </c>
      <c r="AL132" s="2">
        <f t="shared" si="12"/>
        <v>0</v>
      </c>
      <c r="AM132" s="2">
        <f t="shared" si="13"/>
        <v>0</v>
      </c>
      <c r="AN132" s="2">
        <f t="shared" si="14"/>
        <v>0</v>
      </c>
    </row>
    <row r="133" spans="1:40" ht="30.75" customHeight="1" x14ac:dyDescent="0.25">
      <c r="A133" s="55">
        <v>202</v>
      </c>
      <c r="B133" s="11" t="s">
        <v>26</v>
      </c>
      <c r="C133" s="9" t="s">
        <v>263</v>
      </c>
      <c r="D133" s="6" t="s">
        <v>261</v>
      </c>
      <c r="E133" s="1" t="s">
        <v>262</v>
      </c>
      <c r="F133" s="1" t="s">
        <v>37</v>
      </c>
      <c r="G133" s="1"/>
      <c r="H133" s="4">
        <v>18500</v>
      </c>
      <c r="I133" s="2"/>
      <c r="J133" s="2"/>
      <c r="K133" s="2">
        <v>18500</v>
      </c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>
        <v>18500</v>
      </c>
      <c r="X133" s="2"/>
      <c r="Y133" s="2"/>
      <c r="Z133" s="2"/>
      <c r="AA133" s="2"/>
      <c r="AB133" s="2"/>
      <c r="AC133" s="2"/>
      <c r="AD133" s="2"/>
      <c r="AE133" s="2"/>
      <c r="AF133" s="2"/>
      <c r="AG133" s="4"/>
      <c r="AH133" s="2"/>
      <c r="AI133" s="2">
        <f t="shared" si="9"/>
        <v>18500</v>
      </c>
      <c r="AJ133" s="2">
        <f t="shared" si="10"/>
        <v>18500</v>
      </c>
      <c r="AK133" s="2">
        <f t="shared" si="11"/>
        <v>18500</v>
      </c>
      <c r="AL133" s="2">
        <f t="shared" si="12"/>
        <v>0</v>
      </c>
      <c r="AM133" s="2">
        <f t="shared" si="13"/>
        <v>0</v>
      </c>
      <c r="AN133" s="2">
        <f t="shared" si="14"/>
        <v>0</v>
      </c>
    </row>
    <row r="134" spans="1:40" ht="31.5" customHeight="1" x14ac:dyDescent="0.25">
      <c r="A134" s="55">
        <v>203</v>
      </c>
      <c r="B134" s="11" t="s">
        <v>26</v>
      </c>
      <c r="C134" s="9" t="s">
        <v>94</v>
      </c>
      <c r="D134" s="6" t="s">
        <v>92</v>
      </c>
      <c r="E134" s="1" t="s">
        <v>93</v>
      </c>
      <c r="F134" s="1" t="s">
        <v>36</v>
      </c>
      <c r="G134" s="1"/>
      <c r="H134" s="4">
        <v>1500</v>
      </c>
      <c r="I134" s="2"/>
      <c r="J134" s="2"/>
      <c r="K134" s="2">
        <v>1500</v>
      </c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>
        <v>1500</v>
      </c>
      <c r="X134" s="2"/>
      <c r="Y134" s="2"/>
      <c r="Z134" s="2"/>
      <c r="AA134" s="2"/>
      <c r="AB134" s="2"/>
      <c r="AC134" s="2"/>
      <c r="AD134" s="2"/>
      <c r="AE134" s="2"/>
      <c r="AF134" s="2"/>
      <c r="AG134" s="57"/>
      <c r="AH134" s="2"/>
      <c r="AI134" s="2">
        <f t="shared" si="9"/>
        <v>1500</v>
      </c>
      <c r="AJ134" s="2">
        <f t="shared" si="10"/>
        <v>1500</v>
      </c>
      <c r="AK134" s="2">
        <f t="shared" si="11"/>
        <v>1500</v>
      </c>
      <c r="AL134" s="2">
        <f t="shared" si="12"/>
        <v>0</v>
      </c>
      <c r="AM134" s="2">
        <f t="shared" si="13"/>
        <v>0</v>
      </c>
      <c r="AN134" s="2">
        <f t="shared" si="14"/>
        <v>0</v>
      </c>
    </row>
    <row r="135" spans="1:40" ht="31.5" customHeight="1" x14ac:dyDescent="0.25">
      <c r="A135" s="55">
        <v>204</v>
      </c>
      <c r="B135" s="11" t="s">
        <v>26</v>
      </c>
      <c r="C135" s="9" t="s">
        <v>160</v>
      </c>
      <c r="D135" s="6" t="s">
        <v>264</v>
      </c>
      <c r="E135" s="1" t="s">
        <v>265</v>
      </c>
      <c r="F135" s="1" t="s">
        <v>37</v>
      </c>
      <c r="G135" s="1"/>
      <c r="H135" s="2">
        <v>1150</v>
      </c>
      <c r="I135" s="2"/>
      <c r="J135" s="2"/>
      <c r="K135" s="2">
        <v>1150</v>
      </c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>
        <v>1150</v>
      </c>
      <c r="X135" s="2"/>
      <c r="Y135" s="2"/>
      <c r="Z135" s="2"/>
      <c r="AA135" s="2"/>
      <c r="AB135" s="2"/>
      <c r="AC135" s="2"/>
      <c r="AD135" s="2"/>
      <c r="AE135" s="2"/>
      <c r="AF135" s="2"/>
      <c r="AG135" s="57"/>
      <c r="AH135" s="2"/>
      <c r="AI135" s="2">
        <f t="shared" si="9"/>
        <v>1150</v>
      </c>
      <c r="AJ135" s="2">
        <f t="shared" si="10"/>
        <v>1150</v>
      </c>
      <c r="AK135" s="2">
        <f t="shared" si="11"/>
        <v>1150</v>
      </c>
      <c r="AL135" s="2">
        <f t="shared" si="12"/>
        <v>0</v>
      </c>
      <c r="AM135" s="2">
        <f t="shared" si="13"/>
        <v>0</v>
      </c>
      <c r="AN135" s="2">
        <f t="shared" si="14"/>
        <v>0</v>
      </c>
    </row>
    <row r="136" spans="1:40" ht="31.5" customHeight="1" x14ac:dyDescent="0.25">
      <c r="A136" s="55">
        <v>205</v>
      </c>
      <c r="B136" s="11" t="s">
        <v>56</v>
      </c>
      <c r="C136" s="9" t="s">
        <v>88</v>
      </c>
      <c r="D136" s="6" t="s">
        <v>266</v>
      </c>
      <c r="E136" s="1" t="s">
        <v>267</v>
      </c>
      <c r="F136" s="1" t="s">
        <v>37</v>
      </c>
      <c r="G136" s="1"/>
      <c r="H136" s="2">
        <v>57600</v>
      </c>
      <c r="I136" s="2"/>
      <c r="J136" s="2"/>
      <c r="K136" s="2">
        <f>7200+3920</f>
        <v>11120</v>
      </c>
      <c r="L136" s="2">
        <f>9400+8850</f>
        <v>18250</v>
      </c>
      <c r="M136" s="2">
        <v>9785</v>
      </c>
      <c r="N136" s="2">
        <f>9000+9950</f>
        <v>18950</v>
      </c>
      <c r="O136" s="2"/>
      <c r="P136" s="2"/>
      <c r="Q136" s="2"/>
      <c r="R136" s="2"/>
      <c r="S136" s="2"/>
      <c r="T136" s="2"/>
      <c r="U136" s="2"/>
      <c r="V136" s="2"/>
      <c r="W136" s="2">
        <f>7200+3920</f>
        <v>11120</v>
      </c>
      <c r="X136" s="2">
        <f>9400+8850</f>
        <v>18250</v>
      </c>
      <c r="Y136" s="2">
        <v>9785</v>
      </c>
      <c r="Z136" s="2">
        <f>9000+9950</f>
        <v>18950</v>
      </c>
      <c r="AA136" s="2"/>
      <c r="AB136" s="2"/>
      <c r="AC136" s="2"/>
      <c r="AD136" s="2"/>
      <c r="AE136" s="2"/>
      <c r="AF136" s="2"/>
      <c r="AG136" s="4"/>
      <c r="AH136" s="2">
        <v>506</v>
      </c>
      <c r="AI136" s="2">
        <f t="shared" si="9"/>
        <v>58106</v>
      </c>
      <c r="AJ136" s="2">
        <f t="shared" si="10"/>
        <v>58105</v>
      </c>
      <c r="AK136" s="2">
        <f t="shared" si="11"/>
        <v>58105</v>
      </c>
      <c r="AL136" s="2">
        <f t="shared" si="12"/>
        <v>1</v>
      </c>
      <c r="AM136" s="2">
        <f t="shared" si="13"/>
        <v>0</v>
      </c>
      <c r="AN136" s="2">
        <f t="shared" si="14"/>
        <v>1</v>
      </c>
    </row>
    <row r="137" spans="1:40" ht="31.5" customHeight="1" x14ac:dyDescent="0.25">
      <c r="A137" s="61">
        <v>207</v>
      </c>
      <c r="B137" s="11" t="s">
        <v>26</v>
      </c>
      <c r="C137" s="9" t="s">
        <v>94</v>
      </c>
      <c r="D137" s="6" t="s">
        <v>92</v>
      </c>
      <c r="E137" s="1" t="s">
        <v>93</v>
      </c>
      <c r="F137" s="1" t="s">
        <v>36</v>
      </c>
      <c r="G137" s="1"/>
      <c r="H137" s="4">
        <v>900</v>
      </c>
      <c r="I137" s="2"/>
      <c r="J137" s="2"/>
      <c r="K137" s="2">
        <v>900</v>
      </c>
      <c r="L137" s="2"/>
      <c r="M137" s="2"/>
      <c r="N137" s="2"/>
      <c r="O137" s="2"/>
      <c r="P137" s="2"/>
      <c r="Q137" s="2"/>
      <c r="R137" s="2"/>
      <c r="S137" s="52"/>
      <c r="T137" s="2"/>
      <c r="U137" s="2"/>
      <c r="V137" s="2"/>
      <c r="W137" s="2">
        <v>900</v>
      </c>
      <c r="X137" s="2"/>
      <c r="Y137" s="2"/>
      <c r="Z137" s="2"/>
      <c r="AA137" s="2"/>
      <c r="AB137" s="2"/>
      <c r="AC137" s="2"/>
      <c r="AD137" s="18"/>
      <c r="AE137" s="52"/>
      <c r="AF137" s="2"/>
      <c r="AG137" s="57"/>
      <c r="AH137" s="2"/>
      <c r="AI137" s="2">
        <f t="shared" ref="AI137:AI140" si="18">H137-AG137+AH137</f>
        <v>900</v>
      </c>
      <c r="AJ137" s="2">
        <f t="shared" ref="AJ137:AJ140" si="19">SUM(I137:T137)</f>
        <v>900</v>
      </c>
      <c r="AK137" s="2">
        <f t="shared" ref="AK137:AK140" si="20">SUM(U137:AF137)</f>
        <v>900</v>
      </c>
      <c r="AL137" s="2">
        <f t="shared" ref="AL137:AL140" si="21">SUM(AJ137-AK137)+(AI137-AJ137)</f>
        <v>0</v>
      </c>
      <c r="AM137" s="2">
        <f t="shared" ref="AM137:AM140" si="22">SUM(AJ137-AK137)</f>
        <v>0</v>
      </c>
      <c r="AN137" s="2">
        <f t="shared" ref="AN137:AN140" si="23">SUM(AI137-AJ137)</f>
        <v>0</v>
      </c>
    </row>
    <row r="138" spans="1:40" ht="30.75" customHeight="1" x14ac:dyDescent="0.25">
      <c r="A138" s="61">
        <v>208</v>
      </c>
      <c r="B138" s="11" t="s">
        <v>26</v>
      </c>
      <c r="C138" s="9" t="s">
        <v>94</v>
      </c>
      <c r="D138" s="15" t="s">
        <v>108</v>
      </c>
      <c r="E138" s="1" t="s">
        <v>109</v>
      </c>
      <c r="F138" s="1" t="s">
        <v>36</v>
      </c>
      <c r="G138" s="1"/>
      <c r="H138" s="4">
        <v>900</v>
      </c>
      <c r="I138" s="2"/>
      <c r="J138" s="2"/>
      <c r="K138" s="2">
        <v>900</v>
      </c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>
        <v>900</v>
      </c>
      <c r="X138" s="2"/>
      <c r="Y138" s="2"/>
      <c r="Z138" s="2"/>
      <c r="AA138" s="2"/>
      <c r="AB138" s="2"/>
      <c r="AC138" s="2"/>
      <c r="AD138" s="22"/>
      <c r="AE138" s="2"/>
      <c r="AF138" s="2"/>
      <c r="AG138" s="4"/>
      <c r="AH138" s="2"/>
      <c r="AI138" s="2">
        <f t="shared" si="18"/>
        <v>900</v>
      </c>
      <c r="AJ138" s="2">
        <f t="shared" si="19"/>
        <v>900</v>
      </c>
      <c r="AK138" s="2">
        <f t="shared" si="20"/>
        <v>900</v>
      </c>
      <c r="AL138" s="2">
        <f t="shared" si="21"/>
        <v>0</v>
      </c>
      <c r="AM138" s="2">
        <f t="shared" si="22"/>
        <v>0</v>
      </c>
      <c r="AN138" s="2">
        <f t="shared" si="23"/>
        <v>0</v>
      </c>
    </row>
    <row r="139" spans="1:40" ht="30.75" customHeight="1" x14ac:dyDescent="0.25">
      <c r="A139" s="55">
        <v>210</v>
      </c>
      <c r="B139" s="11" t="s">
        <v>26</v>
      </c>
      <c r="C139" s="9" t="s">
        <v>163</v>
      </c>
      <c r="D139" s="6" t="s">
        <v>214</v>
      </c>
      <c r="E139" s="1" t="s">
        <v>213</v>
      </c>
      <c r="F139" s="1" t="s">
        <v>37</v>
      </c>
      <c r="G139" s="1"/>
      <c r="H139" s="2">
        <v>23000</v>
      </c>
      <c r="I139" s="2"/>
      <c r="J139" s="2"/>
      <c r="K139" s="2">
        <v>23000</v>
      </c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>
        <v>23000</v>
      </c>
      <c r="X139" s="2"/>
      <c r="Y139" s="2"/>
      <c r="Z139" s="2"/>
      <c r="AA139" s="2"/>
      <c r="AB139" s="2"/>
      <c r="AC139" s="2"/>
      <c r="AD139" s="2"/>
      <c r="AE139" s="2"/>
      <c r="AF139" s="2"/>
      <c r="AG139" s="28"/>
      <c r="AH139" s="2"/>
      <c r="AI139" s="2">
        <f t="shared" si="18"/>
        <v>23000</v>
      </c>
      <c r="AJ139" s="2">
        <f t="shared" si="19"/>
        <v>23000</v>
      </c>
      <c r="AK139" s="2">
        <f t="shared" si="20"/>
        <v>23000</v>
      </c>
      <c r="AL139" s="2">
        <f t="shared" si="21"/>
        <v>0</v>
      </c>
      <c r="AM139" s="2">
        <f t="shared" si="22"/>
        <v>0</v>
      </c>
      <c r="AN139" s="2">
        <f t="shared" si="23"/>
        <v>0</v>
      </c>
    </row>
    <row r="140" spans="1:40" ht="30.75" customHeight="1" x14ac:dyDescent="0.25">
      <c r="A140" s="55">
        <v>215</v>
      </c>
      <c r="B140" s="11" t="s">
        <v>26</v>
      </c>
      <c r="C140" s="15" t="s">
        <v>94</v>
      </c>
      <c r="D140" s="31" t="s">
        <v>92</v>
      </c>
      <c r="E140" s="1" t="s">
        <v>93</v>
      </c>
      <c r="F140" s="1" t="s">
        <v>36</v>
      </c>
      <c r="G140" s="1"/>
      <c r="H140" s="4">
        <v>900</v>
      </c>
      <c r="I140" s="2"/>
      <c r="J140" s="2"/>
      <c r="K140" s="2">
        <v>900</v>
      </c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>
        <v>900</v>
      </c>
      <c r="X140" s="2"/>
      <c r="Y140" s="2"/>
      <c r="Z140" s="2"/>
      <c r="AA140" s="2"/>
      <c r="AB140" s="2"/>
      <c r="AC140" s="2"/>
      <c r="AD140" s="2"/>
      <c r="AE140" s="2"/>
      <c r="AF140" s="2"/>
      <c r="AG140" s="4"/>
      <c r="AH140" s="2"/>
      <c r="AI140" s="2">
        <f t="shared" si="18"/>
        <v>900</v>
      </c>
      <c r="AJ140" s="2">
        <f t="shared" si="19"/>
        <v>900</v>
      </c>
      <c r="AK140" s="2">
        <f t="shared" si="20"/>
        <v>900</v>
      </c>
      <c r="AL140" s="2">
        <f t="shared" si="21"/>
        <v>0</v>
      </c>
      <c r="AM140" s="2">
        <f t="shared" si="22"/>
        <v>0</v>
      </c>
      <c r="AN140" s="2">
        <f t="shared" si="23"/>
        <v>0</v>
      </c>
    </row>
    <row r="141" spans="1:40" ht="35.1" hidden="1" customHeight="1" x14ac:dyDescent="0.25">
      <c r="A141" s="11"/>
      <c r="B141" s="11" t="s">
        <v>26</v>
      </c>
      <c r="C141" s="9"/>
      <c r="D141" s="6"/>
      <c r="E141" s="1"/>
      <c r="F141" s="15" t="s">
        <v>36</v>
      </c>
      <c r="G141" s="1" t="s">
        <v>30</v>
      </c>
      <c r="H141" s="19"/>
      <c r="I141" s="2"/>
      <c r="J141" s="2"/>
      <c r="K141" s="2"/>
      <c r="L141" s="2">
        <v>1500</v>
      </c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>
        <v>1500</v>
      </c>
      <c r="Y141" s="2"/>
      <c r="Z141" s="2"/>
      <c r="AA141" s="2"/>
      <c r="AB141" s="2"/>
      <c r="AC141" s="2"/>
      <c r="AD141" s="2"/>
      <c r="AE141" s="2"/>
      <c r="AF141" s="2"/>
      <c r="AG141" s="4"/>
      <c r="AH141" s="2"/>
      <c r="AI141" s="2">
        <f t="shared" ref="AI141:AI199" si="24">H141-AG141+AH141</f>
        <v>0</v>
      </c>
      <c r="AJ141" s="2">
        <f t="shared" ref="AJ141:AJ199" si="25">SUM(I141:T141)</f>
        <v>1500</v>
      </c>
      <c r="AK141" s="2">
        <f t="shared" ref="AK141:AK199" si="26">SUM(U141:AF141)</f>
        <v>1500</v>
      </c>
      <c r="AL141" s="2">
        <f t="shared" ref="AL141:AL199" si="27">(AJ141-AK141)+(AI141-AJ141)</f>
        <v>-1500</v>
      </c>
      <c r="AM141" s="2">
        <f t="shared" ref="AM141:AM199" si="28">AJ141-AK141</f>
        <v>0</v>
      </c>
      <c r="AN141" s="2">
        <f t="shared" ref="AN141:AN199" si="29">AI141-AJ141</f>
        <v>-1500</v>
      </c>
    </row>
    <row r="142" spans="1:40" ht="35.1" hidden="1" customHeight="1" x14ac:dyDescent="0.25">
      <c r="A142" s="11"/>
      <c r="B142" s="11" t="s">
        <v>26</v>
      </c>
      <c r="C142" s="9"/>
      <c r="D142" s="6"/>
      <c r="E142" s="1"/>
      <c r="F142" s="15" t="s">
        <v>37</v>
      </c>
      <c r="G142" s="1"/>
      <c r="H142" s="19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4"/>
      <c r="AH142" s="2">
        <v>11402.6</v>
      </c>
      <c r="AI142" s="2">
        <f t="shared" si="24"/>
        <v>11402.6</v>
      </c>
      <c r="AJ142" s="2">
        <f t="shared" si="25"/>
        <v>0</v>
      </c>
      <c r="AK142" s="2">
        <f t="shared" si="26"/>
        <v>0</v>
      </c>
      <c r="AL142" s="2">
        <f t="shared" si="27"/>
        <v>11402.6</v>
      </c>
      <c r="AM142" s="2">
        <f t="shared" si="28"/>
        <v>0</v>
      </c>
      <c r="AN142" s="2">
        <f t="shared" si="29"/>
        <v>11402.6</v>
      </c>
    </row>
    <row r="143" spans="1:40" ht="35.1" hidden="1" customHeight="1" x14ac:dyDescent="0.25">
      <c r="A143" s="11"/>
      <c r="B143" s="11" t="s">
        <v>26</v>
      </c>
      <c r="C143" s="9"/>
      <c r="D143" s="6"/>
      <c r="E143" s="1"/>
      <c r="F143" s="15" t="s">
        <v>37</v>
      </c>
      <c r="G143" s="1" t="s">
        <v>28</v>
      </c>
      <c r="H143" s="19"/>
      <c r="I143" s="2"/>
      <c r="J143" s="2"/>
      <c r="K143" s="2"/>
      <c r="L143" s="2"/>
      <c r="M143" s="2">
        <v>600</v>
      </c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>
        <v>600</v>
      </c>
      <c r="Z143" s="2"/>
      <c r="AA143" s="2"/>
      <c r="AB143" s="2"/>
      <c r="AC143" s="2"/>
      <c r="AD143" s="2"/>
      <c r="AE143" s="2"/>
      <c r="AF143" s="2"/>
      <c r="AG143" s="4"/>
      <c r="AH143" s="2"/>
      <c r="AI143" s="2">
        <f t="shared" si="24"/>
        <v>0</v>
      </c>
      <c r="AJ143" s="2">
        <f t="shared" si="25"/>
        <v>600</v>
      </c>
      <c r="AK143" s="2">
        <f t="shared" si="26"/>
        <v>600</v>
      </c>
      <c r="AL143" s="2">
        <f t="shared" si="27"/>
        <v>-600</v>
      </c>
      <c r="AM143" s="2">
        <f t="shared" si="28"/>
        <v>0</v>
      </c>
      <c r="AN143" s="2">
        <f t="shared" si="29"/>
        <v>-600</v>
      </c>
    </row>
    <row r="144" spans="1:40" ht="35.1" hidden="1" customHeight="1" x14ac:dyDescent="0.25">
      <c r="A144" s="11"/>
      <c r="B144" s="11" t="s">
        <v>26</v>
      </c>
      <c r="C144" s="9"/>
      <c r="D144" s="6"/>
      <c r="E144" s="1"/>
      <c r="F144" s="15" t="s">
        <v>37</v>
      </c>
      <c r="G144" s="1" t="s">
        <v>28</v>
      </c>
      <c r="H144" s="19"/>
      <c r="I144" s="2"/>
      <c r="J144" s="2"/>
      <c r="K144" s="2"/>
      <c r="L144" s="2"/>
      <c r="M144" s="2">
        <v>450</v>
      </c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>
        <v>450</v>
      </c>
      <c r="Z144" s="2"/>
      <c r="AA144" s="2"/>
      <c r="AB144" s="2"/>
      <c r="AC144" s="2"/>
      <c r="AD144" s="2"/>
      <c r="AE144" s="2"/>
      <c r="AF144" s="2"/>
      <c r="AG144" s="4"/>
      <c r="AH144" s="2"/>
      <c r="AI144" s="2">
        <f t="shared" si="24"/>
        <v>0</v>
      </c>
      <c r="AJ144" s="2">
        <f t="shared" si="25"/>
        <v>450</v>
      </c>
      <c r="AK144" s="2">
        <f t="shared" si="26"/>
        <v>450</v>
      </c>
      <c r="AL144" s="2">
        <f t="shared" si="27"/>
        <v>-450</v>
      </c>
      <c r="AM144" s="2">
        <f t="shared" si="28"/>
        <v>0</v>
      </c>
      <c r="AN144" s="2">
        <f t="shared" si="29"/>
        <v>-450</v>
      </c>
    </row>
    <row r="145" spans="1:40" ht="33.75" hidden="1" customHeight="1" x14ac:dyDescent="0.25">
      <c r="A145" s="11"/>
      <c r="B145" s="11" t="s">
        <v>26</v>
      </c>
      <c r="C145" s="9"/>
      <c r="D145" s="6"/>
      <c r="E145" s="1"/>
      <c r="F145" s="15" t="s">
        <v>37</v>
      </c>
      <c r="G145" s="1" t="s">
        <v>29</v>
      </c>
      <c r="H145" s="19"/>
      <c r="I145" s="2"/>
      <c r="J145" s="2"/>
      <c r="K145" s="2"/>
      <c r="L145" s="2"/>
      <c r="M145" s="2">
        <v>7292.4</v>
      </c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>
        <v>7292.4</v>
      </c>
      <c r="Z145" s="2"/>
      <c r="AA145" s="2"/>
      <c r="AB145" s="2"/>
      <c r="AC145" s="2"/>
      <c r="AD145" s="2"/>
      <c r="AE145" s="2"/>
      <c r="AF145" s="2"/>
      <c r="AG145" s="4"/>
      <c r="AH145" s="2"/>
      <c r="AI145" s="2">
        <f t="shared" si="24"/>
        <v>0</v>
      </c>
      <c r="AJ145" s="2">
        <f t="shared" si="25"/>
        <v>7292.4</v>
      </c>
      <c r="AK145" s="2">
        <f t="shared" si="26"/>
        <v>7292.4</v>
      </c>
      <c r="AL145" s="2">
        <f t="shared" si="27"/>
        <v>-7292.4</v>
      </c>
      <c r="AM145" s="2">
        <f t="shared" si="28"/>
        <v>0</v>
      </c>
      <c r="AN145" s="2">
        <f t="shared" si="29"/>
        <v>-7292.4</v>
      </c>
    </row>
    <row r="146" spans="1:40" ht="35.1" hidden="1" customHeight="1" x14ac:dyDescent="0.25">
      <c r="A146" s="11"/>
      <c r="B146" s="11" t="s">
        <v>26</v>
      </c>
      <c r="C146" s="28"/>
      <c r="D146" s="6"/>
      <c r="E146" s="1"/>
      <c r="F146" s="15" t="s">
        <v>37</v>
      </c>
      <c r="G146" s="1" t="s">
        <v>29</v>
      </c>
      <c r="H146" s="19"/>
      <c r="I146" s="2"/>
      <c r="J146" s="2"/>
      <c r="K146" s="2"/>
      <c r="L146" s="2"/>
      <c r="M146" s="2">
        <v>321695.59999999998</v>
      </c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>
        <v>321695.60000000003</v>
      </c>
      <c r="Z146" s="2"/>
      <c r="AA146" s="2"/>
      <c r="AB146" s="2"/>
      <c r="AC146" s="2"/>
      <c r="AD146" s="2"/>
      <c r="AE146" s="2"/>
      <c r="AF146" s="2"/>
      <c r="AG146" s="4"/>
      <c r="AH146" s="2">
        <v>322000</v>
      </c>
      <c r="AI146" s="2">
        <f t="shared" si="24"/>
        <v>322000</v>
      </c>
      <c r="AJ146" s="2">
        <f t="shared" si="25"/>
        <v>321695.59999999998</v>
      </c>
      <c r="AK146" s="2">
        <f t="shared" si="26"/>
        <v>321695.60000000003</v>
      </c>
      <c r="AL146" s="2">
        <f t="shared" si="27"/>
        <v>304.39999999996508</v>
      </c>
      <c r="AM146" s="2">
        <f t="shared" si="28"/>
        <v>0</v>
      </c>
      <c r="AN146" s="2">
        <f t="shared" si="29"/>
        <v>304.40000000002328</v>
      </c>
    </row>
    <row r="147" spans="1:40" ht="35.1" hidden="1" customHeight="1" x14ac:dyDescent="0.25">
      <c r="A147" s="11"/>
      <c r="B147" s="11" t="s">
        <v>26</v>
      </c>
      <c r="C147" s="9"/>
      <c r="D147" s="6"/>
      <c r="E147" s="1"/>
      <c r="F147" s="15" t="s">
        <v>37</v>
      </c>
      <c r="G147" s="1" t="s">
        <v>28</v>
      </c>
      <c r="H147" s="19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4"/>
      <c r="AH147" s="22"/>
      <c r="AI147" s="2">
        <f t="shared" si="24"/>
        <v>0</v>
      </c>
      <c r="AJ147" s="2">
        <f t="shared" si="25"/>
        <v>0</v>
      </c>
      <c r="AK147" s="2">
        <f t="shared" si="26"/>
        <v>0</v>
      </c>
      <c r="AL147" s="2">
        <f t="shared" si="27"/>
        <v>0</v>
      </c>
      <c r="AM147" s="2">
        <f t="shared" si="28"/>
        <v>0</v>
      </c>
      <c r="AN147" s="2">
        <f t="shared" si="29"/>
        <v>0</v>
      </c>
    </row>
    <row r="148" spans="1:40" ht="35.1" hidden="1" customHeight="1" x14ac:dyDescent="0.25">
      <c r="A148" s="11"/>
      <c r="B148" s="11" t="s">
        <v>26</v>
      </c>
      <c r="C148" s="9"/>
      <c r="D148" s="6"/>
      <c r="E148" s="1"/>
      <c r="F148" s="15" t="s">
        <v>36</v>
      </c>
      <c r="G148" s="1" t="s">
        <v>28</v>
      </c>
      <c r="H148" s="19"/>
      <c r="I148" s="2"/>
      <c r="J148" s="2"/>
      <c r="K148" s="2"/>
      <c r="L148" s="2"/>
      <c r="M148" s="2">
        <v>6960</v>
      </c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>
        <v>6960</v>
      </c>
      <c r="Z148" s="2"/>
      <c r="AA148" s="2"/>
      <c r="AB148" s="2"/>
      <c r="AC148" s="2"/>
      <c r="AD148" s="2"/>
      <c r="AE148" s="2"/>
      <c r="AF148" s="2"/>
      <c r="AG148" s="4"/>
      <c r="AH148" s="2"/>
      <c r="AI148" s="2">
        <f t="shared" si="24"/>
        <v>0</v>
      </c>
      <c r="AJ148" s="2">
        <f t="shared" si="25"/>
        <v>6960</v>
      </c>
      <c r="AK148" s="2">
        <f t="shared" si="26"/>
        <v>6960</v>
      </c>
      <c r="AL148" s="2">
        <f t="shared" si="27"/>
        <v>-6960</v>
      </c>
      <c r="AM148" s="2">
        <f t="shared" si="28"/>
        <v>0</v>
      </c>
      <c r="AN148" s="2">
        <f t="shared" si="29"/>
        <v>-6960</v>
      </c>
    </row>
    <row r="149" spans="1:40" ht="35.1" hidden="1" customHeight="1" x14ac:dyDescent="0.25">
      <c r="A149" s="11"/>
      <c r="B149" s="11" t="s">
        <v>26</v>
      </c>
      <c r="C149" s="9"/>
      <c r="D149" s="6"/>
      <c r="E149" s="1"/>
      <c r="F149" s="15" t="s">
        <v>37</v>
      </c>
      <c r="G149" s="1" t="s">
        <v>28</v>
      </c>
      <c r="H149" s="19"/>
      <c r="I149" s="2"/>
      <c r="J149" s="2"/>
      <c r="K149" s="2"/>
      <c r="L149" s="2"/>
      <c r="M149" s="2">
        <v>1560</v>
      </c>
      <c r="N149" s="4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>
        <v>1560</v>
      </c>
      <c r="Z149" s="2"/>
      <c r="AA149" s="4"/>
      <c r="AB149" s="2"/>
      <c r="AC149" s="2"/>
      <c r="AD149" s="2"/>
      <c r="AE149" s="2"/>
      <c r="AF149" s="2"/>
      <c r="AG149" s="4"/>
      <c r="AH149" s="2"/>
      <c r="AI149" s="2">
        <f t="shared" si="24"/>
        <v>0</v>
      </c>
      <c r="AJ149" s="2">
        <f t="shared" si="25"/>
        <v>1560</v>
      </c>
      <c r="AK149" s="2">
        <f t="shared" si="26"/>
        <v>1560</v>
      </c>
      <c r="AL149" s="2">
        <f t="shared" si="27"/>
        <v>-1560</v>
      </c>
      <c r="AM149" s="2">
        <f t="shared" si="28"/>
        <v>0</v>
      </c>
      <c r="AN149" s="2">
        <f t="shared" si="29"/>
        <v>-1560</v>
      </c>
    </row>
    <row r="150" spans="1:40" ht="35.1" hidden="1" customHeight="1" x14ac:dyDescent="0.25">
      <c r="A150" s="11"/>
      <c r="B150" s="11" t="s">
        <v>26</v>
      </c>
      <c r="C150" s="30"/>
      <c r="D150" s="6"/>
      <c r="E150" s="1"/>
      <c r="F150" s="1"/>
      <c r="G150" s="1"/>
      <c r="H150" s="19"/>
      <c r="I150" s="2"/>
      <c r="J150" s="2"/>
      <c r="K150" s="2"/>
      <c r="L150" s="2"/>
      <c r="M150" s="2">
        <v>900</v>
      </c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>
        <v>900</v>
      </c>
      <c r="Z150" s="2"/>
      <c r="AA150" s="2"/>
      <c r="AB150" s="2"/>
      <c r="AC150" s="2"/>
      <c r="AD150" s="2"/>
      <c r="AE150" s="2"/>
      <c r="AF150" s="2"/>
      <c r="AG150" s="4"/>
      <c r="AH150" s="2"/>
      <c r="AI150" s="2">
        <f t="shared" si="24"/>
        <v>0</v>
      </c>
      <c r="AJ150" s="2">
        <f t="shared" si="25"/>
        <v>900</v>
      </c>
      <c r="AK150" s="2">
        <f t="shared" si="26"/>
        <v>900</v>
      </c>
      <c r="AL150" s="2">
        <f t="shared" si="27"/>
        <v>-900</v>
      </c>
      <c r="AM150" s="2">
        <f t="shared" si="28"/>
        <v>0</v>
      </c>
      <c r="AN150" s="2">
        <f t="shared" si="29"/>
        <v>-900</v>
      </c>
    </row>
    <row r="151" spans="1:40" ht="35.1" hidden="1" customHeight="1" x14ac:dyDescent="0.25">
      <c r="A151" s="11"/>
      <c r="B151" s="11" t="s">
        <v>26</v>
      </c>
      <c r="C151" s="30"/>
      <c r="D151" s="6"/>
      <c r="E151" s="1"/>
      <c r="F151" s="1"/>
      <c r="G151" s="1"/>
      <c r="H151" s="19"/>
      <c r="I151" s="2"/>
      <c r="J151" s="2"/>
      <c r="K151" s="2"/>
      <c r="L151" s="2"/>
      <c r="M151" s="2">
        <v>900</v>
      </c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>
        <v>900</v>
      </c>
      <c r="Z151" s="2"/>
      <c r="AA151" s="2"/>
      <c r="AB151" s="2"/>
      <c r="AC151" s="2"/>
      <c r="AD151" s="2"/>
      <c r="AE151" s="2"/>
      <c r="AF151" s="2"/>
      <c r="AG151" s="4"/>
      <c r="AH151" s="2"/>
      <c r="AI151" s="2">
        <f t="shared" si="24"/>
        <v>0</v>
      </c>
      <c r="AJ151" s="2">
        <f t="shared" si="25"/>
        <v>900</v>
      </c>
      <c r="AK151" s="2">
        <f t="shared" si="26"/>
        <v>900</v>
      </c>
      <c r="AL151" s="2">
        <f t="shared" si="27"/>
        <v>-900</v>
      </c>
      <c r="AM151" s="2">
        <f t="shared" si="28"/>
        <v>0</v>
      </c>
      <c r="AN151" s="2">
        <f t="shared" si="29"/>
        <v>-900</v>
      </c>
    </row>
    <row r="152" spans="1:40" ht="35.1" hidden="1" customHeight="1" x14ac:dyDescent="0.25">
      <c r="A152" s="11"/>
      <c r="B152" s="11" t="s">
        <v>26</v>
      </c>
      <c r="C152" s="30"/>
      <c r="D152" s="6"/>
      <c r="E152" s="1"/>
      <c r="F152" s="1"/>
      <c r="G152" s="1"/>
      <c r="H152" s="19"/>
      <c r="I152" s="2"/>
      <c r="J152" s="2"/>
      <c r="K152" s="2"/>
      <c r="L152" s="2"/>
      <c r="M152" s="2">
        <v>5000</v>
      </c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>
        <v>5000</v>
      </c>
      <c r="Z152" s="2"/>
      <c r="AA152" s="2"/>
      <c r="AB152" s="2"/>
      <c r="AC152" s="2"/>
      <c r="AD152" s="2"/>
      <c r="AE152" s="2"/>
      <c r="AF152" s="2"/>
      <c r="AG152" s="4"/>
      <c r="AH152" s="2"/>
      <c r="AI152" s="2">
        <f t="shared" si="24"/>
        <v>0</v>
      </c>
      <c r="AJ152" s="2">
        <f t="shared" si="25"/>
        <v>5000</v>
      </c>
      <c r="AK152" s="2">
        <f t="shared" si="26"/>
        <v>5000</v>
      </c>
      <c r="AL152" s="2">
        <f t="shared" si="27"/>
        <v>-5000</v>
      </c>
      <c r="AM152" s="2">
        <f t="shared" si="28"/>
        <v>0</v>
      </c>
      <c r="AN152" s="2">
        <f t="shared" si="29"/>
        <v>-5000</v>
      </c>
    </row>
    <row r="153" spans="1:40" ht="35.1" hidden="1" customHeight="1" x14ac:dyDescent="0.25">
      <c r="A153" s="11"/>
      <c r="B153" s="11" t="s">
        <v>26</v>
      </c>
      <c r="C153" s="30"/>
      <c r="D153" s="6"/>
      <c r="E153" s="1"/>
      <c r="F153" s="1"/>
      <c r="G153" s="1"/>
      <c r="H153" s="19"/>
      <c r="I153" s="2"/>
      <c r="J153" s="2"/>
      <c r="K153" s="2"/>
      <c r="L153" s="2"/>
      <c r="M153" s="2">
        <v>25</v>
      </c>
      <c r="N153" s="2"/>
      <c r="O153" s="2"/>
      <c r="P153" s="2"/>
      <c r="Q153" s="2"/>
      <c r="R153" s="2"/>
      <c r="S153" s="36"/>
      <c r="T153" s="15"/>
      <c r="U153" s="2"/>
      <c r="V153" s="2"/>
      <c r="W153" s="2"/>
      <c r="X153" s="2"/>
      <c r="Y153" s="2">
        <v>25</v>
      </c>
      <c r="Z153" s="2"/>
      <c r="AA153" s="2"/>
      <c r="AB153" s="2"/>
      <c r="AC153" s="2"/>
      <c r="AD153" s="2"/>
      <c r="AE153" s="18"/>
      <c r="AF153" s="15"/>
      <c r="AG153" s="4"/>
      <c r="AH153" s="57"/>
      <c r="AI153" s="2">
        <f t="shared" si="24"/>
        <v>0</v>
      </c>
      <c r="AJ153" s="2">
        <f t="shared" si="25"/>
        <v>25</v>
      </c>
      <c r="AK153" s="2">
        <f t="shared" si="26"/>
        <v>25</v>
      </c>
      <c r="AL153" s="2">
        <f t="shared" si="27"/>
        <v>-25</v>
      </c>
      <c r="AM153" s="2">
        <f t="shared" si="28"/>
        <v>0</v>
      </c>
      <c r="AN153" s="2">
        <f t="shared" si="29"/>
        <v>-25</v>
      </c>
    </row>
    <row r="154" spans="1:40" ht="35.1" hidden="1" customHeight="1" x14ac:dyDescent="0.25">
      <c r="A154" s="11"/>
      <c r="B154" s="11" t="s">
        <v>26</v>
      </c>
      <c r="C154" s="30"/>
      <c r="D154" s="6"/>
      <c r="E154" s="1"/>
      <c r="F154" s="1" t="s">
        <v>31</v>
      </c>
      <c r="G154" s="1" t="s">
        <v>32</v>
      </c>
      <c r="H154" s="19"/>
      <c r="I154" s="2"/>
      <c r="J154" s="2"/>
      <c r="K154" s="2"/>
      <c r="L154" s="2"/>
      <c r="M154" s="2">
        <v>900</v>
      </c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>
        <v>900</v>
      </c>
      <c r="Z154" s="2"/>
      <c r="AA154" s="2"/>
      <c r="AB154" s="2"/>
      <c r="AC154" s="2"/>
      <c r="AD154" s="2"/>
      <c r="AE154" s="2"/>
      <c r="AF154" s="2"/>
      <c r="AG154" s="4"/>
      <c r="AH154" s="3"/>
      <c r="AI154" s="2">
        <f t="shared" si="24"/>
        <v>0</v>
      </c>
      <c r="AJ154" s="2">
        <f t="shared" si="25"/>
        <v>900</v>
      </c>
      <c r="AK154" s="2">
        <f t="shared" si="26"/>
        <v>900</v>
      </c>
      <c r="AL154" s="2">
        <f t="shared" si="27"/>
        <v>-900</v>
      </c>
      <c r="AM154" s="2">
        <f t="shared" si="28"/>
        <v>0</v>
      </c>
      <c r="AN154" s="2">
        <f t="shared" si="29"/>
        <v>-900</v>
      </c>
    </row>
    <row r="155" spans="1:40" ht="35.1" hidden="1" customHeight="1" x14ac:dyDescent="0.25">
      <c r="A155" s="11"/>
      <c r="B155" s="11" t="s">
        <v>26</v>
      </c>
      <c r="C155" s="30"/>
      <c r="D155" s="6"/>
      <c r="E155" s="1"/>
      <c r="F155" s="1"/>
      <c r="G155" s="1"/>
      <c r="H155" s="19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4"/>
      <c r="AH155" s="2"/>
      <c r="AI155" s="2">
        <f t="shared" si="24"/>
        <v>0</v>
      </c>
      <c r="AJ155" s="2">
        <f t="shared" si="25"/>
        <v>0</v>
      </c>
      <c r="AK155" s="2">
        <f t="shared" si="26"/>
        <v>0</v>
      </c>
      <c r="AL155" s="2">
        <f t="shared" si="27"/>
        <v>0</v>
      </c>
      <c r="AM155" s="2">
        <f t="shared" si="28"/>
        <v>0</v>
      </c>
      <c r="AN155" s="2">
        <f t="shared" si="29"/>
        <v>0</v>
      </c>
    </row>
    <row r="156" spans="1:40" ht="34.5" hidden="1" customHeight="1" x14ac:dyDescent="0.25">
      <c r="A156" s="11"/>
      <c r="B156" s="11" t="s">
        <v>26</v>
      </c>
      <c r="C156" s="30"/>
      <c r="D156" s="6"/>
      <c r="E156" s="1"/>
      <c r="F156" s="1"/>
      <c r="G156" s="1"/>
      <c r="H156" s="19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4"/>
      <c r="AH156" s="2"/>
      <c r="AI156" s="2">
        <f t="shared" si="24"/>
        <v>0</v>
      </c>
      <c r="AJ156" s="2">
        <f t="shared" si="25"/>
        <v>0</v>
      </c>
      <c r="AK156" s="2">
        <f t="shared" si="26"/>
        <v>0</v>
      </c>
      <c r="AL156" s="2">
        <f t="shared" si="27"/>
        <v>0</v>
      </c>
      <c r="AM156" s="2">
        <f t="shared" si="28"/>
        <v>0</v>
      </c>
      <c r="AN156" s="2">
        <f t="shared" si="29"/>
        <v>0</v>
      </c>
    </row>
    <row r="157" spans="1:40" ht="35.1" hidden="1" customHeight="1" x14ac:dyDescent="0.25">
      <c r="A157" s="11"/>
      <c r="B157" s="11" t="s">
        <v>26</v>
      </c>
      <c r="C157" s="30"/>
      <c r="D157" s="6"/>
      <c r="E157" s="1"/>
      <c r="F157" s="1"/>
      <c r="G157" s="1"/>
      <c r="H157" s="19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4"/>
      <c r="AH157" s="2"/>
      <c r="AI157" s="2">
        <f t="shared" si="24"/>
        <v>0</v>
      </c>
      <c r="AJ157" s="2">
        <f t="shared" si="25"/>
        <v>0</v>
      </c>
      <c r="AK157" s="2">
        <f t="shared" si="26"/>
        <v>0</v>
      </c>
      <c r="AL157" s="2">
        <f t="shared" si="27"/>
        <v>0</v>
      </c>
      <c r="AM157" s="2">
        <f t="shared" si="28"/>
        <v>0</v>
      </c>
      <c r="AN157" s="2">
        <f t="shared" si="29"/>
        <v>0</v>
      </c>
    </row>
    <row r="158" spans="1:40" ht="35.1" hidden="1" customHeight="1" x14ac:dyDescent="0.25">
      <c r="A158" s="11"/>
      <c r="B158" s="11" t="s">
        <v>26</v>
      </c>
      <c r="C158" s="30"/>
      <c r="D158" s="6"/>
      <c r="E158" s="1"/>
      <c r="F158" s="1"/>
      <c r="G158" s="1"/>
      <c r="H158" s="19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4"/>
      <c r="AH158" s="2"/>
      <c r="AI158" s="2">
        <f t="shared" si="24"/>
        <v>0</v>
      </c>
      <c r="AJ158" s="2">
        <f t="shared" si="25"/>
        <v>0</v>
      </c>
      <c r="AK158" s="2">
        <f t="shared" si="26"/>
        <v>0</v>
      </c>
      <c r="AL158" s="2">
        <f t="shared" si="27"/>
        <v>0</v>
      </c>
      <c r="AM158" s="2">
        <f t="shared" si="28"/>
        <v>0</v>
      </c>
      <c r="AN158" s="2">
        <f t="shared" si="29"/>
        <v>0</v>
      </c>
    </row>
    <row r="159" spans="1:40" ht="35.1" hidden="1" customHeight="1" x14ac:dyDescent="0.25">
      <c r="A159" s="11"/>
      <c r="B159" s="11" t="s">
        <v>26</v>
      </c>
      <c r="C159" s="30"/>
      <c r="D159" s="6"/>
      <c r="E159" s="1"/>
      <c r="F159" s="1"/>
      <c r="G159" s="1"/>
      <c r="H159" s="19"/>
      <c r="I159" s="2"/>
      <c r="J159" s="2"/>
      <c r="K159" s="2"/>
      <c r="L159" s="2"/>
      <c r="M159" s="2"/>
      <c r="N159" s="2">
        <v>900</v>
      </c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>
        <v>900</v>
      </c>
      <c r="AA159" s="2"/>
      <c r="AB159" s="2"/>
      <c r="AC159" s="2"/>
      <c r="AD159" s="2"/>
      <c r="AE159" s="2"/>
      <c r="AF159" s="2"/>
      <c r="AG159" s="4"/>
      <c r="AH159" s="2"/>
      <c r="AI159" s="2">
        <f t="shared" si="24"/>
        <v>0</v>
      </c>
      <c r="AJ159" s="2">
        <f t="shared" si="25"/>
        <v>900</v>
      </c>
      <c r="AK159" s="2">
        <f t="shared" si="26"/>
        <v>900</v>
      </c>
      <c r="AL159" s="2">
        <f t="shared" si="27"/>
        <v>-900</v>
      </c>
      <c r="AM159" s="2">
        <f t="shared" si="28"/>
        <v>0</v>
      </c>
      <c r="AN159" s="2">
        <f t="shared" si="29"/>
        <v>-900</v>
      </c>
    </row>
    <row r="160" spans="1:40" ht="35.1" hidden="1" customHeight="1" x14ac:dyDescent="0.25">
      <c r="A160" s="11"/>
      <c r="B160" s="11" t="s">
        <v>26</v>
      </c>
      <c r="C160" s="30"/>
      <c r="D160" s="6"/>
      <c r="E160" s="1"/>
      <c r="F160" s="1"/>
      <c r="G160" s="1"/>
      <c r="H160" s="19"/>
      <c r="I160" s="2"/>
      <c r="J160" s="2"/>
      <c r="K160" s="2"/>
      <c r="L160" s="2"/>
      <c r="M160" s="2">
        <v>900</v>
      </c>
      <c r="N160" s="2"/>
      <c r="O160" s="2"/>
      <c r="P160" s="2"/>
      <c r="Q160" s="2"/>
      <c r="R160" s="18"/>
      <c r="S160" s="18"/>
      <c r="T160" s="52"/>
      <c r="U160" s="2"/>
      <c r="V160" s="2"/>
      <c r="W160" s="2"/>
      <c r="X160" s="2"/>
      <c r="Y160" s="2"/>
      <c r="Z160" s="2"/>
      <c r="AA160" s="2"/>
      <c r="AB160" s="2"/>
      <c r="AC160" s="2"/>
      <c r="AD160" s="18"/>
      <c r="AE160" s="18"/>
      <c r="AF160" s="52"/>
      <c r="AG160" s="4"/>
      <c r="AH160" s="2"/>
      <c r="AI160" s="2">
        <f t="shared" si="24"/>
        <v>0</v>
      </c>
      <c r="AJ160" s="2">
        <f t="shared" si="25"/>
        <v>900</v>
      </c>
      <c r="AK160" s="2">
        <f t="shared" si="26"/>
        <v>0</v>
      </c>
      <c r="AL160" s="2">
        <f t="shared" si="27"/>
        <v>0</v>
      </c>
      <c r="AM160" s="2">
        <f t="shared" si="28"/>
        <v>900</v>
      </c>
      <c r="AN160" s="2">
        <f t="shared" si="29"/>
        <v>-900</v>
      </c>
    </row>
    <row r="161" spans="1:40" ht="35.1" hidden="1" customHeight="1" x14ac:dyDescent="0.25">
      <c r="A161" s="11"/>
      <c r="B161" s="11" t="s">
        <v>26</v>
      </c>
      <c r="C161" s="30"/>
      <c r="D161" s="6"/>
      <c r="E161" s="1"/>
      <c r="F161" s="1"/>
      <c r="G161" s="1"/>
      <c r="H161" s="19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4"/>
      <c r="AH161" s="2"/>
      <c r="AI161" s="2">
        <f t="shared" si="24"/>
        <v>0</v>
      </c>
      <c r="AJ161" s="2">
        <f t="shared" si="25"/>
        <v>0</v>
      </c>
      <c r="AK161" s="2">
        <f t="shared" si="26"/>
        <v>0</v>
      </c>
      <c r="AL161" s="2">
        <f t="shared" si="27"/>
        <v>0</v>
      </c>
      <c r="AM161" s="2">
        <f t="shared" si="28"/>
        <v>0</v>
      </c>
      <c r="AN161" s="2">
        <f t="shared" si="29"/>
        <v>0</v>
      </c>
    </row>
    <row r="162" spans="1:40" ht="35.1" hidden="1" customHeight="1" x14ac:dyDescent="0.25">
      <c r="A162" s="11"/>
      <c r="B162" s="11" t="s">
        <v>26</v>
      </c>
      <c r="C162" s="30"/>
      <c r="D162" s="6"/>
      <c r="E162" s="1"/>
      <c r="F162" s="1"/>
      <c r="G162" s="1"/>
      <c r="H162" s="19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4"/>
      <c r="AH162" s="2"/>
      <c r="AI162" s="2">
        <f t="shared" si="24"/>
        <v>0</v>
      </c>
      <c r="AJ162" s="2">
        <f t="shared" si="25"/>
        <v>0</v>
      </c>
      <c r="AK162" s="2">
        <f t="shared" si="26"/>
        <v>0</v>
      </c>
      <c r="AL162" s="2">
        <f t="shared" si="27"/>
        <v>0</v>
      </c>
      <c r="AM162" s="2">
        <f t="shared" si="28"/>
        <v>0</v>
      </c>
      <c r="AN162" s="2">
        <f t="shared" si="29"/>
        <v>0</v>
      </c>
    </row>
    <row r="163" spans="1:40" ht="35.1" hidden="1" customHeight="1" x14ac:dyDescent="0.25">
      <c r="A163" s="11"/>
      <c r="B163" s="11" t="s">
        <v>26</v>
      </c>
      <c r="C163" s="30"/>
      <c r="D163" s="6"/>
      <c r="E163" s="1"/>
      <c r="F163" s="1"/>
      <c r="G163" s="1"/>
      <c r="H163" s="19"/>
      <c r="I163" s="2"/>
      <c r="J163" s="2"/>
      <c r="K163" s="2"/>
      <c r="L163" s="2"/>
      <c r="M163" s="2"/>
      <c r="N163" s="3">
        <v>900</v>
      </c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3">
        <v>900</v>
      </c>
      <c r="AA163" s="2"/>
      <c r="AB163" s="2"/>
      <c r="AC163" s="2"/>
      <c r="AD163" s="2"/>
      <c r="AE163" s="2"/>
      <c r="AF163" s="2"/>
      <c r="AG163" s="4"/>
      <c r="AH163" s="2"/>
      <c r="AI163" s="2">
        <f t="shared" si="24"/>
        <v>0</v>
      </c>
      <c r="AJ163" s="2">
        <f t="shared" si="25"/>
        <v>900</v>
      </c>
      <c r="AK163" s="2">
        <f t="shared" si="26"/>
        <v>900</v>
      </c>
      <c r="AL163" s="2">
        <f t="shared" si="27"/>
        <v>-900</v>
      </c>
      <c r="AM163" s="2">
        <f t="shared" si="28"/>
        <v>0</v>
      </c>
      <c r="AN163" s="2">
        <f t="shared" si="29"/>
        <v>-900</v>
      </c>
    </row>
    <row r="164" spans="1:40" ht="35.1" hidden="1" customHeight="1" x14ac:dyDescent="0.25">
      <c r="A164" s="11"/>
      <c r="B164" s="11" t="s">
        <v>26</v>
      </c>
      <c r="C164" s="30"/>
      <c r="D164" s="6"/>
      <c r="E164" s="1"/>
      <c r="F164" s="1"/>
      <c r="G164" s="1"/>
      <c r="H164" s="19"/>
      <c r="I164" s="2"/>
      <c r="J164" s="2"/>
      <c r="K164" s="2"/>
      <c r="L164" s="2"/>
      <c r="M164" s="2"/>
      <c r="N164" s="2">
        <v>900</v>
      </c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>
        <v>900</v>
      </c>
      <c r="AA164" s="2"/>
      <c r="AB164" s="2"/>
      <c r="AC164" s="2"/>
      <c r="AD164" s="2"/>
      <c r="AE164" s="2"/>
      <c r="AF164" s="2"/>
      <c r="AG164" s="4"/>
      <c r="AH164" s="2"/>
      <c r="AI164" s="2">
        <f t="shared" si="24"/>
        <v>0</v>
      </c>
      <c r="AJ164" s="2">
        <f t="shared" si="25"/>
        <v>900</v>
      </c>
      <c r="AK164" s="2">
        <f t="shared" si="26"/>
        <v>900</v>
      </c>
      <c r="AL164" s="2">
        <f t="shared" si="27"/>
        <v>-900</v>
      </c>
      <c r="AM164" s="2">
        <f t="shared" si="28"/>
        <v>0</v>
      </c>
      <c r="AN164" s="2">
        <f t="shared" si="29"/>
        <v>-900</v>
      </c>
    </row>
    <row r="165" spans="1:40" ht="35.1" hidden="1" customHeight="1" x14ac:dyDescent="0.25">
      <c r="A165" s="11"/>
      <c r="B165" s="11" t="s">
        <v>26</v>
      </c>
      <c r="C165" s="30"/>
      <c r="D165" s="6"/>
      <c r="E165" s="1"/>
      <c r="F165" s="1"/>
      <c r="G165" s="1"/>
      <c r="H165" s="19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5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52"/>
      <c r="AF165" s="2"/>
      <c r="AG165" s="4"/>
      <c r="AH165" s="2"/>
      <c r="AI165" s="2">
        <f t="shared" si="24"/>
        <v>0</v>
      </c>
      <c r="AJ165" s="2">
        <f t="shared" si="25"/>
        <v>0</v>
      </c>
      <c r="AK165" s="2">
        <f t="shared" si="26"/>
        <v>0</v>
      </c>
      <c r="AL165" s="2">
        <f t="shared" si="27"/>
        <v>0</v>
      </c>
      <c r="AM165" s="2">
        <f t="shared" si="28"/>
        <v>0</v>
      </c>
      <c r="AN165" s="2">
        <f t="shared" si="29"/>
        <v>0</v>
      </c>
    </row>
    <row r="166" spans="1:40" ht="57.75" hidden="1" customHeight="1" x14ac:dyDescent="0.25">
      <c r="A166" s="11"/>
      <c r="B166" s="11" t="s">
        <v>26</v>
      </c>
      <c r="C166" s="30"/>
      <c r="D166" s="6"/>
      <c r="E166" s="1"/>
      <c r="F166" s="1"/>
      <c r="G166" s="1"/>
      <c r="H166" s="19"/>
      <c r="I166" s="2"/>
      <c r="J166" s="2"/>
      <c r="K166" s="2"/>
      <c r="L166" s="2"/>
      <c r="M166" s="2"/>
      <c r="N166" s="2">
        <v>11191.32</v>
      </c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>
        <v>11191.32</v>
      </c>
      <c r="AA166" s="2"/>
      <c r="AB166" s="2"/>
      <c r="AC166" s="2"/>
      <c r="AD166" s="2"/>
      <c r="AE166" s="2"/>
      <c r="AF166" s="2"/>
      <c r="AG166" s="52"/>
      <c r="AH166" s="2"/>
      <c r="AI166" s="2">
        <f t="shared" si="24"/>
        <v>0</v>
      </c>
      <c r="AJ166" s="2">
        <f t="shared" si="25"/>
        <v>11191.32</v>
      </c>
      <c r="AK166" s="2">
        <f t="shared" si="26"/>
        <v>11191.32</v>
      </c>
      <c r="AL166" s="2">
        <f t="shared" si="27"/>
        <v>-11191.32</v>
      </c>
      <c r="AM166" s="2">
        <f t="shared" si="28"/>
        <v>0</v>
      </c>
      <c r="AN166" s="2">
        <f t="shared" si="29"/>
        <v>-11191.32</v>
      </c>
    </row>
    <row r="167" spans="1:40" ht="30" hidden="1" customHeight="1" x14ac:dyDescent="0.25">
      <c r="A167" s="11"/>
      <c r="B167" s="11" t="s">
        <v>26</v>
      </c>
      <c r="C167" s="30"/>
      <c r="D167" s="6"/>
      <c r="E167" s="1"/>
      <c r="F167" s="1"/>
      <c r="G167" s="1"/>
      <c r="H167" s="19"/>
      <c r="I167" s="2"/>
      <c r="J167" s="2"/>
      <c r="K167" s="2"/>
      <c r="L167" s="2"/>
      <c r="M167" s="2"/>
      <c r="N167" s="2">
        <v>2700</v>
      </c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>
        <v>2700</v>
      </c>
      <c r="AA167" s="2"/>
      <c r="AB167" s="2"/>
      <c r="AC167" s="2"/>
      <c r="AD167" s="2"/>
      <c r="AE167" s="2"/>
      <c r="AF167" s="2"/>
      <c r="AG167" s="4"/>
      <c r="AH167" s="2"/>
      <c r="AI167" s="2">
        <f t="shared" si="24"/>
        <v>0</v>
      </c>
      <c r="AJ167" s="2">
        <f t="shared" si="25"/>
        <v>2700</v>
      </c>
      <c r="AK167" s="2">
        <f t="shared" si="26"/>
        <v>2700</v>
      </c>
      <c r="AL167" s="2">
        <f t="shared" si="27"/>
        <v>-2700</v>
      </c>
      <c r="AM167" s="2">
        <f t="shared" si="28"/>
        <v>0</v>
      </c>
      <c r="AN167" s="2">
        <f t="shared" si="29"/>
        <v>-2700</v>
      </c>
    </row>
    <row r="168" spans="1:40" ht="30" hidden="1" customHeight="1" x14ac:dyDescent="0.25">
      <c r="A168" s="11"/>
      <c r="B168" s="11" t="s">
        <v>26</v>
      </c>
      <c r="C168" s="30"/>
      <c r="D168" s="6"/>
      <c r="E168" s="1"/>
      <c r="F168" s="1"/>
      <c r="G168" s="1"/>
      <c r="H168" s="19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4"/>
      <c r="AH168" s="2"/>
      <c r="AI168" s="2">
        <f t="shared" si="24"/>
        <v>0</v>
      </c>
      <c r="AJ168" s="2">
        <f t="shared" si="25"/>
        <v>0</v>
      </c>
      <c r="AK168" s="2">
        <f t="shared" si="26"/>
        <v>0</v>
      </c>
      <c r="AL168" s="2">
        <f t="shared" si="27"/>
        <v>0</v>
      </c>
      <c r="AM168" s="2">
        <f t="shared" si="28"/>
        <v>0</v>
      </c>
      <c r="AN168" s="2">
        <f t="shared" si="29"/>
        <v>0</v>
      </c>
    </row>
    <row r="169" spans="1:40" ht="30" hidden="1" customHeight="1" x14ac:dyDescent="0.25">
      <c r="A169" s="11"/>
      <c r="B169" s="11" t="s">
        <v>26</v>
      </c>
      <c r="C169" s="30"/>
      <c r="D169" s="6"/>
      <c r="E169" s="1"/>
      <c r="F169" s="1"/>
      <c r="G169" s="1"/>
      <c r="H169" s="19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4"/>
      <c r="AH169" s="2"/>
      <c r="AI169" s="2">
        <f t="shared" si="24"/>
        <v>0</v>
      </c>
      <c r="AJ169" s="2">
        <f t="shared" si="25"/>
        <v>0</v>
      </c>
      <c r="AK169" s="2">
        <f t="shared" si="26"/>
        <v>0</v>
      </c>
      <c r="AL169" s="2">
        <f t="shared" si="27"/>
        <v>0</v>
      </c>
      <c r="AM169" s="2">
        <f t="shared" si="28"/>
        <v>0</v>
      </c>
      <c r="AN169" s="2">
        <f t="shared" si="29"/>
        <v>0</v>
      </c>
    </row>
    <row r="170" spans="1:40" ht="30" hidden="1" customHeight="1" x14ac:dyDescent="0.25">
      <c r="A170" s="11"/>
      <c r="B170" s="11" t="s">
        <v>26</v>
      </c>
      <c r="C170" s="30"/>
      <c r="D170" s="6"/>
      <c r="E170" s="1"/>
      <c r="F170" s="1"/>
      <c r="G170" s="1"/>
      <c r="H170" s="19"/>
      <c r="I170" s="2"/>
      <c r="J170" s="2"/>
      <c r="K170" s="2"/>
      <c r="L170" s="2"/>
      <c r="M170" s="2"/>
      <c r="N170" s="2">
        <v>96.86</v>
      </c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>
        <v>96.86</v>
      </c>
      <c r="AA170" s="2"/>
      <c r="AB170" s="2"/>
      <c r="AC170" s="2"/>
      <c r="AD170" s="2"/>
      <c r="AE170" s="2"/>
      <c r="AF170" s="2"/>
      <c r="AG170" s="4"/>
      <c r="AH170" s="2"/>
      <c r="AI170" s="2">
        <f t="shared" si="24"/>
        <v>0</v>
      </c>
      <c r="AJ170" s="2">
        <f t="shared" si="25"/>
        <v>96.86</v>
      </c>
      <c r="AK170" s="2">
        <f t="shared" si="26"/>
        <v>96.86</v>
      </c>
      <c r="AL170" s="2">
        <f t="shared" si="27"/>
        <v>-96.86</v>
      </c>
      <c r="AM170" s="2">
        <f t="shared" si="28"/>
        <v>0</v>
      </c>
      <c r="AN170" s="2">
        <f t="shared" si="29"/>
        <v>-96.86</v>
      </c>
    </row>
    <row r="171" spans="1:40" ht="30" hidden="1" customHeight="1" x14ac:dyDescent="0.25">
      <c r="A171" s="11"/>
      <c r="B171" s="11" t="s">
        <v>26</v>
      </c>
      <c r="C171" s="30"/>
      <c r="D171" s="6"/>
      <c r="E171" s="1"/>
      <c r="F171" s="1"/>
      <c r="G171" s="1"/>
      <c r="H171" s="19"/>
      <c r="I171" s="2"/>
      <c r="J171" s="2"/>
      <c r="K171" s="2"/>
      <c r="L171" s="2"/>
      <c r="M171" s="2"/>
      <c r="N171" s="2">
        <v>39.369999999999997</v>
      </c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>
        <v>39.369999999999997</v>
      </c>
      <c r="AA171" s="2"/>
      <c r="AB171" s="2"/>
      <c r="AC171" s="2"/>
      <c r="AD171" s="2"/>
      <c r="AE171" s="2"/>
      <c r="AF171" s="2"/>
      <c r="AG171" s="4"/>
      <c r="AH171" s="2"/>
      <c r="AI171" s="2">
        <f t="shared" si="24"/>
        <v>0</v>
      </c>
      <c r="AJ171" s="2">
        <f t="shared" si="25"/>
        <v>39.369999999999997</v>
      </c>
      <c r="AK171" s="2">
        <f t="shared" si="26"/>
        <v>39.369999999999997</v>
      </c>
      <c r="AL171" s="2">
        <f t="shared" si="27"/>
        <v>-39.369999999999997</v>
      </c>
      <c r="AM171" s="2">
        <f t="shared" si="28"/>
        <v>0</v>
      </c>
      <c r="AN171" s="2">
        <f t="shared" si="29"/>
        <v>-39.369999999999997</v>
      </c>
    </row>
    <row r="172" spans="1:40" ht="30" hidden="1" customHeight="1" x14ac:dyDescent="0.25">
      <c r="A172" s="11"/>
      <c r="B172" s="11" t="s">
        <v>26</v>
      </c>
      <c r="C172" s="30"/>
      <c r="D172" s="6"/>
      <c r="E172" s="1"/>
      <c r="F172" s="1"/>
      <c r="G172" s="1"/>
      <c r="H172" s="19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4"/>
      <c r="AH172" s="2"/>
      <c r="AI172" s="2">
        <f t="shared" si="24"/>
        <v>0</v>
      </c>
      <c r="AJ172" s="2">
        <f t="shared" si="25"/>
        <v>0</v>
      </c>
      <c r="AK172" s="2">
        <f t="shared" si="26"/>
        <v>0</v>
      </c>
      <c r="AL172" s="2">
        <f t="shared" si="27"/>
        <v>0</v>
      </c>
      <c r="AM172" s="2">
        <f t="shared" si="28"/>
        <v>0</v>
      </c>
      <c r="AN172" s="2">
        <f t="shared" si="29"/>
        <v>0</v>
      </c>
    </row>
    <row r="173" spans="1:40" ht="30" hidden="1" customHeight="1" x14ac:dyDescent="0.25">
      <c r="A173" s="11"/>
      <c r="B173" s="11" t="s">
        <v>26</v>
      </c>
      <c r="C173" s="30"/>
      <c r="D173" s="6"/>
      <c r="E173" s="1"/>
      <c r="F173" s="1"/>
      <c r="G173" s="1"/>
      <c r="H173" s="19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2"/>
      <c r="AD173" s="2"/>
      <c r="AE173" s="2"/>
      <c r="AF173" s="2"/>
      <c r="AG173" s="4"/>
      <c r="AH173" s="2"/>
      <c r="AI173" s="2">
        <f t="shared" si="24"/>
        <v>0</v>
      </c>
      <c r="AJ173" s="2">
        <f t="shared" si="25"/>
        <v>0</v>
      </c>
      <c r="AK173" s="2">
        <f t="shared" si="26"/>
        <v>0</v>
      </c>
      <c r="AL173" s="2">
        <f t="shared" si="27"/>
        <v>0</v>
      </c>
      <c r="AM173" s="2">
        <f t="shared" si="28"/>
        <v>0</v>
      </c>
      <c r="AN173" s="2">
        <f t="shared" si="29"/>
        <v>0</v>
      </c>
    </row>
    <row r="174" spans="1:40" ht="30" hidden="1" customHeight="1" x14ac:dyDescent="0.25">
      <c r="A174" s="11"/>
      <c r="B174" s="11" t="s">
        <v>26</v>
      </c>
      <c r="C174" s="30"/>
      <c r="D174" s="6"/>
      <c r="E174" s="1"/>
      <c r="F174" s="1"/>
      <c r="G174" s="1"/>
      <c r="H174" s="19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18"/>
      <c r="AC174" s="15"/>
      <c r="AD174" s="2"/>
      <c r="AE174" s="2"/>
      <c r="AF174" s="2"/>
      <c r="AG174" s="4"/>
      <c r="AH174" s="2"/>
      <c r="AI174" s="2">
        <f t="shared" si="24"/>
        <v>0</v>
      </c>
      <c r="AJ174" s="2">
        <f t="shared" si="25"/>
        <v>0</v>
      </c>
      <c r="AK174" s="2">
        <f t="shared" si="26"/>
        <v>0</v>
      </c>
      <c r="AL174" s="2">
        <f t="shared" si="27"/>
        <v>0</v>
      </c>
      <c r="AM174" s="2">
        <f t="shared" si="28"/>
        <v>0</v>
      </c>
      <c r="AN174" s="2">
        <f t="shared" si="29"/>
        <v>0</v>
      </c>
    </row>
    <row r="175" spans="1:40" ht="30" hidden="1" customHeight="1" x14ac:dyDescent="0.25">
      <c r="A175" s="11"/>
      <c r="B175" s="11" t="s">
        <v>26</v>
      </c>
      <c r="C175" s="30"/>
      <c r="D175" s="6"/>
      <c r="E175" s="1"/>
      <c r="F175" s="1"/>
      <c r="G175" s="1"/>
      <c r="H175" s="19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4"/>
      <c r="AH175" s="2"/>
      <c r="AI175" s="2">
        <f t="shared" si="24"/>
        <v>0</v>
      </c>
      <c r="AJ175" s="2">
        <f t="shared" si="25"/>
        <v>0</v>
      </c>
      <c r="AK175" s="2">
        <f t="shared" si="26"/>
        <v>0</v>
      </c>
      <c r="AL175" s="2">
        <f t="shared" si="27"/>
        <v>0</v>
      </c>
      <c r="AM175" s="2">
        <f t="shared" si="28"/>
        <v>0</v>
      </c>
      <c r="AN175" s="2">
        <f t="shared" si="29"/>
        <v>0</v>
      </c>
    </row>
    <row r="176" spans="1:40" ht="30" hidden="1" customHeight="1" x14ac:dyDescent="0.25">
      <c r="A176" s="11"/>
      <c r="B176" s="11" t="s">
        <v>26</v>
      </c>
      <c r="C176" s="30"/>
      <c r="D176" s="6"/>
      <c r="E176" s="1"/>
      <c r="F176" s="1"/>
      <c r="G176" s="1"/>
      <c r="H176" s="19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4"/>
      <c r="AH176" s="2"/>
      <c r="AI176" s="2">
        <f t="shared" si="24"/>
        <v>0</v>
      </c>
      <c r="AJ176" s="2">
        <f t="shared" si="25"/>
        <v>0</v>
      </c>
      <c r="AK176" s="2">
        <f t="shared" si="26"/>
        <v>0</v>
      </c>
      <c r="AL176" s="2">
        <f t="shared" si="27"/>
        <v>0</v>
      </c>
      <c r="AM176" s="2">
        <f t="shared" si="28"/>
        <v>0</v>
      </c>
      <c r="AN176" s="2">
        <f t="shared" si="29"/>
        <v>0</v>
      </c>
    </row>
    <row r="177" spans="1:40" ht="30" hidden="1" customHeight="1" x14ac:dyDescent="0.25">
      <c r="A177" s="11"/>
      <c r="B177" s="11" t="s">
        <v>26</v>
      </c>
      <c r="C177" s="30"/>
      <c r="D177" s="6"/>
      <c r="E177" s="1"/>
      <c r="F177" s="1"/>
      <c r="G177" s="1"/>
      <c r="H177" s="19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4"/>
      <c r="AH177" s="2"/>
      <c r="AI177" s="2">
        <f t="shared" si="24"/>
        <v>0</v>
      </c>
      <c r="AJ177" s="2">
        <f t="shared" si="25"/>
        <v>0</v>
      </c>
      <c r="AK177" s="2">
        <f t="shared" si="26"/>
        <v>0</v>
      </c>
      <c r="AL177" s="2">
        <f t="shared" si="27"/>
        <v>0</v>
      </c>
      <c r="AM177" s="2">
        <f t="shared" si="28"/>
        <v>0</v>
      </c>
      <c r="AN177" s="2">
        <f t="shared" si="29"/>
        <v>0</v>
      </c>
    </row>
    <row r="178" spans="1:40" ht="30" hidden="1" customHeight="1" x14ac:dyDescent="0.25">
      <c r="A178" s="11"/>
      <c r="B178" s="11" t="s">
        <v>26</v>
      </c>
      <c r="C178" s="30"/>
      <c r="D178" s="6"/>
      <c r="E178" s="1"/>
      <c r="F178" s="1"/>
      <c r="G178" s="1"/>
      <c r="H178" s="19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4"/>
      <c r="AH178" s="2"/>
      <c r="AI178" s="2">
        <f t="shared" si="24"/>
        <v>0</v>
      </c>
      <c r="AJ178" s="2">
        <f t="shared" si="25"/>
        <v>0</v>
      </c>
      <c r="AK178" s="2">
        <f t="shared" si="26"/>
        <v>0</v>
      </c>
      <c r="AL178" s="2">
        <f t="shared" si="27"/>
        <v>0</v>
      </c>
      <c r="AM178" s="2">
        <f t="shared" si="28"/>
        <v>0</v>
      </c>
      <c r="AN178" s="2">
        <f t="shared" si="29"/>
        <v>0</v>
      </c>
    </row>
    <row r="179" spans="1:40" ht="30" hidden="1" customHeight="1" x14ac:dyDescent="0.25">
      <c r="A179" s="11"/>
      <c r="B179" s="11" t="s">
        <v>26</v>
      </c>
      <c r="C179" s="30"/>
      <c r="D179" s="6"/>
      <c r="E179" s="1"/>
      <c r="F179" s="1"/>
      <c r="G179" s="1"/>
      <c r="H179" s="19"/>
      <c r="I179" s="2"/>
      <c r="J179" s="2"/>
      <c r="K179" s="2"/>
      <c r="L179" s="2"/>
      <c r="M179" s="2"/>
      <c r="N179" s="2">
        <v>2920</v>
      </c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>
        <v>2920</v>
      </c>
      <c r="AB179" s="2"/>
      <c r="AC179" s="2"/>
      <c r="AD179" s="2"/>
      <c r="AE179" s="2"/>
      <c r="AF179" s="2"/>
      <c r="AG179" s="4"/>
      <c r="AH179" s="2"/>
      <c r="AI179" s="2">
        <f t="shared" si="24"/>
        <v>0</v>
      </c>
      <c r="AJ179" s="2">
        <f t="shared" si="25"/>
        <v>2920</v>
      </c>
      <c r="AK179" s="2">
        <f t="shared" si="26"/>
        <v>2920</v>
      </c>
      <c r="AL179" s="2">
        <f t="shared" si="27"/>
        <v>-2920</v>
      </c>
      <c r="AM179" s="2">
        <f t="shared" si="28"/>
        <v>0</v>
      </c>
      <c r="AN179" s="2">
        <f t="shared" si="29"/>
        <v>-2920</v>
      </c>
    </row>
    <row r="180" spans="1:40" ht="30" hidden="1" customHeight="1" x14ac:dyDescent="0.25">
      <c r="A180" s="11"/>
      <c r="B180" s="11" t="s">
        <v>26</v>
      </c>
      <c r="C180" s="30"/>
      <c r="D180" s="6"/>
      <c r="E180" s="1"/>
      <c r="F180" s="1"/>
      <c r="G180" s="1"/>
      <c r="H180" s="19"/>
      <c r="I180" s="2"/>
      <c r="J180" s="2"/>
      <c r="K180" s="2"/>
      <c r="L180" s="2"/>
      <c r="M180" s="2"/>
      <c r="N180" s="2">
        <v>3000</v>
      </c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>
        <v>3000</v>
      </c>
      <c r="AB180" s="2"/>
      <c r="AC180" s="2"/>
      <c r="AD180" s="2"/>
      <c r="AE180" s="2"/>
      <c r="AF180" s="2"/>
      <c r="AG180" s="4"/>
      <c r="AH180" s="2">
        <v>5</v>
      </c>
      <c r="AI180" s="2">
        <f t="shared" si="24"/>
        <v>5</v>
      </c>
      <c r="AJ180" s="2">
        <f t="shared" si="25"/>
        <v>3000</v>
      </c>
      <c r="AK180" s="2">
        <f t="shared" si="26"/>
        <v>3000</v>
      </c>
      <c r="AL180" s="2">
        <f t="shared" si="27"/>
        <v>-2995</v>
      </c>
      <c r="AM180" s="2">
        <f t="shared" si="28"/>
        <v>0</v>
      </c>
      <c r="AN180" s="2">
        <f t="shared" si="29"/>
        <v>-2995</v>
      </c>
    </row>
    <row r="181" spans="1:40" ht="30" hidden="1" customHeight="1" x14ac:dyDescent="0.25">
      <c r="A181" s="11"/>
      <c r="B181" s="11" t="s">
        <v>26</v>
      </c>
      <c r="C181" s="30"/>
      <c r="D181" s="6"/>
      <c r="E181" s="1"/>
      <c r="F181" s="1"/>
      <c r="G181" s="1"/>
      <c r="H181" s="19"/>
      <c r="I181" s="2"/>
      <c r="J181" s="2"/>
      <c r="K181" s="2"/>
      <c r="L181" s="2"/>
      <c r="M181" s="2"/>
      <c r="N181" s="2">
        <v>4200</v>
      </c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>
        <v>4200</v>
      </c>
      <c r="AB181" s="2"/>
      <c r="AC181" s="2"/>
      <c r="AD181" s="2"/>
      <c r="AE181" s="2"/>
      <c r="AF181" s="2"/>
      <c r="AG181" s="4"/>
      <c r="AH181" s="2"/>
      <c r="AI181" s="2">
        <f t="shared" si="24"/>
        <v>0</v>
      </c>
      <c r="AJ181" s="2">
        <f t="shared" si="25"/>
        <v>4200</v>
      </c>
      <c r="AK181" s="2">
        <f t="shared" si="26"/>
        <v>4200</v>
      </c>
      <c r="AL181" s="2">
        <f t="shared" si="27"/>
        <v>-4200</v>
      </c>
      <c r="AM181" s="2">
        <f t="shared" si="28"/>
        <v>0</v>
      </c>
      <c r="AN181" s="2">
        <f t="shared" si="29"/>
        <v>-4200</v>
      </c>
    </row>
    <row r="182" spans="1:40" ht="30" hidden="1" customHeight="1" x14ac:dyDescent="0.25">
      <c r="A182" s="11"/>
      <c r="B182" s="11" t="s">
        <v>26</v>
      </c>
      <c r="C182" s="9"/>
      <c r="D182" s="6"/>
      <c r="E182" s="1"/>
      <c r="F182" s="1"/>
      <c r="G182" s="1"/>
      <c r="H182" s="19"/>
      <c r="I182" s="2"/>
      <c r="J182" s="2"/>
      <c r="K182" s="2"/>
      <c r="L182" s="2"/>
      <c r="M182" s="2"/>
      <c r="N182" s="2">
        <v>3192</v>
      </c>
      <c r="O182" s="2"/>
      <c r="P182" s="2"/>
      <c r="Q182" s="4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4"/>
      <c r="AD182" s="2"/>
      <c r="AE182" s="2"/>
      <c r="AF182" s="2"/>
      <c r="AG182" s="4"/>
      <c r="AH182" s="2"/>
      <c r="AI182" s="2">
        <f t="shared" si="24"/>
        <v>0</v>
      </c>
      <c r="AJ182" s="2">
        <f t="shared" si="25"/>
        <v>3192</v>
      </c>
      <c r="AK182" s="2">
        <f t="shared" si="26"/>
        <v>0</v>
      </c>
      <c r="AL182" s="2">
        <f t="shared" si="27"/>
        <v>0</v>
      </c>
      <c r="AM182" s="2">
        <f t="shared" si="28"/>
        <v>3192</v>
      </c>
      <c r="AN182" s="2">
        <f t="shared" si="29"/>
        <v>-3192</v>
      </c>
    </row>
    <row r="183" spans="1:40" ht="30" hidden="1" customHeight="1" x14ac:dyDescent="0.25">
      <c r="A183" s="11"/>
      <c r="B183" s="11" t="s">
        <v>26</v>
      </c>
      <c r="C183" s="9"/>
      <c r="D183" s="6"/>
      <c r="E183" s="1"/>
      <c r="F183" s="1"/>
      <c r="G183" s="1"/>
      <c r="H183" s="29"/>
      <c r="I183" s="2"/>
      <c r="J183" s="2"/>
      <c r="K183" s="2"/>
      <c r="L183" s="2"/>
      <c r="M183" s="2"/>
      <c r="N183" s="2">
        <v>600</v>
      </c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>
        <v>600</v>
      </c>
      <c r="AB183" s="2"/>
      <c r="AC183" s="2"/>
      <c r="AD183" s="2"/>
      <c r="AE183" s="2"/>
      <c r="AF183" s="2"/>
      <c r="AG183" s="4"/>
      <c r="AH183" s="2"/>
      <c r="AI183" s="2">
        <f t="shared" si="24"/>
        <v>0</v>
      </c>
      <c r="AJ183" s="2">
        <f t="shared" si="25"/>
        <v>600</v>
      </c>
      <c r="AK183" s="2">
        <f t="shared" si="26"/>
        <v>600</v>
      </c>
      <c r="AL183" s="2">
        <f t="shared" si="27"/>
        <v>-600</v>
      </c>
      <c r="AM183" s="2">
        <f t="shared" si="28"/>
        <v>0</v>
      </c>
      <c r="AN183" s="2">
        <f t="shared" si="29"/>
        <v>-600</v>
      </c>
    </row>
    <row r="184" spans="1:40" ht="30" hidden="1" customHeight="1" x14ac:dyDescent="0.25">
      <c r="A184" s="11"/>
      <c r="B184" s="11" t="s">
        <v>26</v>
      </c>
      <c r="C184" s="9"/>
      <c r="D184" s="6"/>
      <c r="E184" s="1"/>
      <c r="F184" s="1"/>
      <c r="G184" s="1"/>
      <c r="H184" s="19"/>
      <c r="I184" s="2"/>
      <c r="J184" s="2"/>
      <c r="K184" s="2"/>
      <c r="L184" s="2"/>
      <c r="M184" s="2"/>
      <c r="N184" s="2"/>
      <c r="O184" s="2">
        <v>3025</v>
      </c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>
        <v>3025</v>
      </c>
      <c r="AB184" s="2"/>
      <c r="AC184" s="2"/>
      <c r="AD184" s="2"/>
      <c r="AE184" s="2"/>
      <c r="AF184" s="2"/>
      <c r="AG184" s="4"/>
      <c r="AH184" s="2"/>
      <c r="AI184" s="2">
        <f t="shared" si="24"/>
        <v>0</v>
      </c>
      <c r="AJ184" s="2">
        <f t="shared" si="25"/>
        <v>3025</v>
      </c>
      <c r="AK184" s="2">
        <f t="shared" si="26"/>
        <v>3025</v>
      </c>
      <c r="AL184" s="2">
        <f t="shared" si="27"/>
        <v>-3025</v>
      </c>
      <c r="AM184" s="2">
        <f t="shared" si="28"/>
        <v>0</v>
      </c>
      <c r="AN184" s="2">
        <f t="shared" si="29"/>
        <v>-3025</v>
      </c>
    </row>
    <row r="185" spans="1:40" ht="30" hidden="1" customHeight="1" x14ac:dyDescent="0.25">
      <c r="A185" s="11"/>
      <c r="B185" s="11" t="s">
        <v>26</v>
      </c>
      <c r="C185" s="30"/>
      <c r="D185" s="6"/>
      <c r="E185" s="1"/>
      <c r="F185" s="1"/>
      <c r="G185" s="1"/>
      <c r="H185" s="19"/>
      <c r="I185" s="2"/>
      <c r="J185" s="2"/>
      <c r="K185" s="2"/>
      <c r="L185" s="2"/>
      <c r="M185" s="2"/>
      <c r="N185" s="2"/>
      <c r="O185" s="2">
        <v>3000</v>
      </c>
      <c r="P185" s="2"/>
      <c r="Q185" s="4"/>
      <c r="R185" s="2"/>
      <c r="S185" s="2"/>
      <c r="T185" s="2"/>
      <c r="U185" s="2"/>
      <c r="V185" s="2"/>
      <c r="W185" s="2"/>
      <c r="X185" s="2"/>
      <c r="Y185" s="2"/>
      <c r="Z185" s="2"/>
      <c r="AA185" s="2">
        <v>3000</v>
      </c>
      <c r="AB185" s="2"/>
      <c r="AC185" s="4"/>
      <c r="AD185" s="2"/>
      <c r="AE185" s="2"/>
      <c r="AF185" s="2"/>
      <c r="AG185" s="4"/>
      <c r="AH185" s="2"/>
      <c r="AI185" s="2">
        <f t="shared" si="24"/>
        <v>0</v>
      </c>
      <c r="AJ185" s="2">
        <f t="shared" si="25"/>
        <v>3000</v>
      </c>
      <c r="AK185" s="2">
        <f t="shared" si="26"/>
        <v>3000</v>
      </c>
      <c r="AL185" s="2">
        <f t="shared" si="27"/>
        <v>-3000</v>
      </c>
      <c r="AM185" s="2">
        <f t="shared" si="28"/>
        <v>0</v>
      </c>
      <c r="AN185" s="2">
        <f t="shared" si="29"/>
        <v>-3000</v>
      </c>
    </row>
    <row r="186" spans="1:40" ht="30" hidden="1" customHeight="1" x14ac:dyDescent="0.25">
      <c r="A186" s="11"/>
      <c r="B186" s="11" t="s">
        <v>26</v>
      </c>
      <c r="C186" s="30"/>
      <c r="D186" s="6"/>
      <c r="E186" s="1"/>
      <c r="F186" s="1"/>
      <c r="G186" s="1"/>
      <c r="H186" s="19"/>
      <c r="I186" s="2"/>
      <c r="J186" s="2"/>
      <c r="K186" s="2"/>
      <c r="L186" s="2"/>
      <c r="M186" s="2"/>
      <c r="N186" s="2"/>
      <c r="O186" s="2">
        <v>25</v>
      </c>
      <c r="P186" s="4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>
        <v>25</v>
      </c>
      <c r="AB186" s="4"/>
      <c r="AC186" s="2"/>
      <c r="AD186" s="2"/>
      <c r="AE186" s="2"/>
      <c r="AF186" s="2"/>
      <c r="AG186" s="4"/>
      <c r="AH186" s="2"/>
      <c r="AI186" s="2">
        <f t="shared" si="24"/>
        <v>0</v>
      </c>
      <c r="AJ186" s="2">
        <f t="shared" si="25"/>
        <v>25</v>
      </c>
      <c r="AK186" s="2">
        <f t="shared" si="26"/>
        <v>25</v>
      </c>
      <c r="AL186" s="2">
        <f t="shared" si="27"/>
        <v>-25</v>
      </c>
      <c r="AM186" s="2">
        <f t="shared" si="28"/>
        <v>0</v>
      </c>
      <c r="AN186" s="2">
        <f t="shared" si="29"/>
        <v>-25</v>
      </c>
    </row>
    <row r="187" spans="1:40" ht="30" hidden="1" customHeight="1" x14ac:dyDescent="0.25">
      <c r="A187" s="11"/>
      <c r="B187" s="11" t="s">
        <v>26</v>
      </c>
      <c r="C187" s="30"/>
      <c r="D187" s="6"/>
      <c r="E187" s="1"/>
      <c r="F187" s="1"/>
      <c r="G187" s="1"/>
      <c r="H187" s="19"/>
      <c r="I187" s="2"/>
      <c r="J187" s="2"/>
      <c r="K187" s="2"/>
      <c r="L187" s="2"/>
      <c r="M187" s="2"/>
      <c r="N187" s="2"/>
      <c r="O187" s="2">
        <v>900</v>
      </c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>
        <v>900</v>
      </c>
      <c r="AB187" s="2"/>
      <c r="AC187" s="2"/>
      <c r="AD187" s="2"/>
      <c r="AE187" s="2"/>
      <c r="AF187" s="2"/>
      <c r="AG187" s="4"/>
      <c r="AH187" s="2"/>
      <c r="AI187" s="2">
        <f t="shared" si="24"/>
        <v>0</v>
      </c>
      <c r="AJ187" s="2">
        <f t="shared" si="25"/>
        <v>900</v>
      </c>
      <c r="AK187" s="2">
        <f t="shared" si="26"/>
        <v>900</v>
      </c>
      <c r="AL187" s="2">
        <f t="shared" si="27"/>
        <v>-900</v>
      </c>
      <c r="AM187" s="2">
        <f t="shared" si="28"/>
        <v>0</v>
      </c>
      <c r="AN187" s="2">
        <f t="shared" si="29"/>
        <v>-900</v>
      </c>
    </row>
    <row r="188" spans="1:40" ht="30" hidden="1" customHeight="1" x14ac:dyDescent="0.25">
      <c r="A188" s="11"/>
      <c r="B188" s="11" t="s">
        <v>26</v>
      </c>
      <c r="C188" s="30"/>
      <c r="D188" s="6"/>
      <c r="E188" s="1"/>
      <c r="F188" s="1"/>
      <c r="G188" s="1"/>
      <c r="H188" s="19"/>
      <c r="I188" s="2"/>
      <c r="J188" s="2"/>
      <c r="K188" s="2"/>
      <c r="L188" s="2"/>
      <c r="M188" s="2"/>
      <c r="N188" s="2"/>
      <c r="O188" s="2">
        <v>900</v>
      </c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>
        <v>900</v>
      </c>
      <c r="AB188" s="2"/>
      <c r="AC188" s="2"/>
      <c r="AD188" s="2"/>
      <c r="AE188" s="2"/>
      <c r="AF188" s="2"/>
      <c r="AG188" s="4"/>
      <c r="AH188" s="2"/>
      <c r="AI188" s="2">
        <f t="shared" si="24"/>
        <v>0</v>
      </c>
      <c r="AJ188" s="2">
        <f t="shared" si="25"/>
        <v>900</v>
      </c>
      <c r="AK188" s="2">
        <f t="shared" si="26"/>
        <v>900</v>
      </c>
      <c r="AL188" s="2">
        <f t="shared" si="27"/>
        <v>-900</v>
      </c>
      <c r="AM188" s="2">
        <f t="shared" si="28"/>
        <v>0</v>
      </c>
      <c r="AN188" s="2">
        <f t="shared" si="29"/>
        <v>-900</v>
      </c>
    </row>
    <row r="189" spans="1:40" ht="30" hidden="1" customHeight="1" x14ac:dyDescent="0.25">
      <c r="A189" s="11"/>
      <c r="B189" s="11" t="s">
        <v>26</v>
      </c>
      <c r="C189" s="30"/>
      <c r="D189" s="6"/>
      <c r="E189" s="1"/>
      <c r="F189" s="1"/>
      <c r="G189" s="1"/>
      <c r="H189" s="19"/>
      <c r="I189" s="2"/>
      <c r="J189" s="2"/>
      <c r="K189" s="2"/>
      <c r="L189" s="2"/>
      <c r="M189" s="2"/>
      <c r="N189" s="2"/>
      <c r="O189" s="3">
        <v>2000</v>
      </c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3">
        <v>2000</v>
      </c>
      <c r="AB189" s="2"/>
      <c r="AC189" s="2"/>
      <c r="AD189" s="2"/>
      <c r="AE189" s="2"/>
      <c r="AF189" s="2"/>
      <c r="AG189" s="4"/>
      <c r="AH189" s="2"/>
      <c r="AI189" s="2">
        <f t="shared" si="24"/>
        <v>0</v>
      </c>
      <c r="AJ189" s="2">
        <f t="shared" si="25"/>
        <v>2000</v>
      </c>
      <c r="AK189" s="2">
        <f t="shared" si="26"/>
        <v>2000</v>
      </c>
      <c r="AL189" s="2">
        <f t="shared" si="27"/>
        <v>-2000</v>
      </c>
      <c r="AM189" s="2">
        <f t="shared" si="28"/>
        <v>0</v>
      </c>
      <c r="AN189" s="2">
        <f t="shared" si="29"/>
        <v>-2000</v>
      </c>
    </row>
    <row r="190" spans="1:40" ht="30" hidden="1" customHeight="1" x14ac:dyDescent="0.25">
      <c r="A190" s="11"/>
      <c r="B190" s="11" t="s">
        <v>26</v>
      </c>
      <c r="C190" s="30"/>
      <c r="D190" s="6"/>
      <c r="E190" s="1"/>
      <c r="F190" s="1"/>
      <c r="G190" s="1"/>
      <c r="H190" s="19"/>
      <c r="I190" s="2"/>
      <c r="J190" s="2"/>
      <c r="K190" s="2"/>
      <c r="L190" s="2"/>
      <c r="M190" s="2"/>
      <c r="N190" s="2"/>
      <c r="O190" s="2">
        <v>15047.2</v>
      </c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>
        <v>15047.2</v>
      </c>
      <c r="AB190" s="2"/>
      <c r="AC190" s="2"/>
      <c r="AD190" s="2"/>
      <c r="AE190" s="2"/>
      <c r="AF190" s="2"/>
      <c r="AG190" s="4"/>
      <c r="AH190" s="2"/>
      <c r="AI190" s="2">
        <f t="shared" si="24"/>
        <v>0</v>
      </c>
      <c r="AJ190" s="2">
        <f t="shared" si="25"/>
        <v>15047.2</v>
      </c>
      <c r="AK190" s="2">
        <f t="shared" si="26"/>
        <v>15047.2</v>
      </c>
      <c r="AL190" s="2">
        <f t="shared" si="27"/>
        <v>-15047.2</v>
      </c>
      <c r="AM190" s="2">
        <f t="shared" si="28"/>
        <v>0</v>
      </c>
      <c r="AN190" s="2">
        <f t="shared" si="29"/>
        <v>-15047.2</v>
      </c>
    </row>
    <row r="191" spans="1:40" ht="30" hidden="1" customHeight="1" x14ac:dyDescent="0.25">
      <c r="A191" s="11"/>
      <c r="B191" s="11" t="s">
        <v>26</v>
      </c>
      <c r="C191" s="30"/>
      <c r="D191" s="6"/>
      <c r="E191" s="21"/>
      <c r="F191" s="1"/>
      <c r="G191" s="1"/>
      <c r="H191" s="19"/>
      <c r="I191" s="2"/>
      <c r="J191" s="2"/>
      <c r="K191" s="2"/>
      <c r="L191" s="2"/>
      <c r="M191" s="2"/>
      <c r="N191" s="2"/>
      <c r="O191" s="2"/>
      <c r="P191" s="2"/>
      <c r="Q191" s="2"/>
      <c r="R191" s="4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4"/>
      <c r="AF191" s="2"/>
      <c r="AG191" s="4"/>
      <c r="AH191" s="2"/>
      <c r="AI191" s="2">
        <f t="shared" si="24"/>
        <v>0</v>
      </c>
      <c r="AJ191" s="2">
        <f t="shared" si="25"/>
        <v>0</v>
      </c>
      <c r="AK191" s="2">
        <f t="shared" si="26"/>
        <v>0</v>
      </c>
      <c r="AL191" s="2">
        <f t="shared" si="27"/>
        <v>0</v>
      </c>
      <c r="AM191" s="2">
        <f t="shared" si="28"/>
        <v>0</v>
      </c>
      <c r="AN191" s="2">
        <f t="shared" si="29"/>
        <v>0</v>
      </c>
    </row>
    <row r="192" spans="1:40" ht="30" hidden="1" customHeight="1" x14ac:dyDescent="0.25">
      <c r="A192" s="11"/>
      <c r="B192" s="11" t="s">
        <v>26</v>
      </c>
      <c r="C192" s="6"/>
      <c r="D192" s="6"/>
      <c r="E192" s="1"/>
      <c r="F192" s="1"/>
      <c r="G192" s="1"/>
      <c r="H192" s="19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4"/>
      <c r="AH192" s="2"/>
      <c r="AI192" s="2">
        <f t="shared" si="24"/>
        <v>0</v>
      </c>
      <c r="AJ192" s="2">
        <f t="shared" si="25"/>
        <v>0</v>
      </c>
      <c r="AK192" s="2">
        <f t="shared" si="26"/>
        <v>0</v>
      </c>
      <c r="AL192" s="2">
        <f t="shared" si="27"/>
        <v>0</v>
      </c>
      <c r="AM192" s="2">
        <f t="shared" si="28"/>
        <v>0</v>
      </c>
      <c r="AN192" s="2">
        <f t="shared" si="29"/>
        <v>0</v>
      </c>
    </row>
    <row r="193" spans="1:40" ht="30" hidden="1" customHeight="1" x14ac:dyDescent="0.25">
      <c r="A193" s="11"/>
      <c r="B193" s="11" t="s">
        <v>26</v>
      </c>
      <c r="C193" s="6"/>
      <c r="D193" s="6"/>
      <c r="E193" s="1"/>
      <c r="F193" s="1"/>
      <c r="G193" s="1"/>
      <c r="H193" s="19"/>
      <c r="I193" s="2"/>
      <c r="J193" s="2"/>
      <c r="K193" s="2"/>
      <c r="L193" s="2"/>
      <c r="M193" s="2"/>
      <c r="N193" s="2"/>
      <c r="O193" s="3">
        <v>3131.71</v>
      </c>
      <c r="P193" s="2"/>
      <c r="Q193" s="4"/>
      <c r="R193" s="2"/>
      <c r="S193" s="2"/>
      <c r="T193" s="2"/>
      <c r="U193" s="2"/>
      <c r="V193" s="2"/>
      <c r="W193" s="2"/>
      <c r="X193" s="2"/>
      <c r="Y193" s="2"/>
      <c r="Z193" s="2"/>
      <c r="AA193" s="2">
        <v>3131.71</v>
      </c>
      <c r="AB193" s="2"/>
      <c r="AC193" s="4"/>
      <c r="AD193" s="2"/>
      <c r="AE193" s="2"/>
      <c r="AF193" s="2"/>
      <c r="AG193" s="4"/>
      <c r="AH193" s="2"/>
      <c r="AI193" s="2">
        <f t="shared" si="24"/>
        <v>0</v>
      </c>
      <c r="AJ193" s="2">
        <f t="shared" si="25"/>
        <v>3131.71</v>
      </c>
      <c r="AK193" s="2">
        <f t="shared" si="26"/>
        <v>3131.71</v>
      </c>
      <c r="AL193" s="2">
        <f t="shared" si="27"/>
        <v>-3131.71</v>
      </c>
      <c r="AM193" s="2">
        <f t="shared" si="28"/>
        <v>0</v>
      </c>
      <c r="AN193" s="2">
        <f t="shared" si="29"/>
        <v>-3131.71</v>
      </c>
    </row>
    <row r="194" spans="1:40" ht="30" hidden="1" customHeight="1" x14ac:dyDescent="0.25">
      <c r="A194" s="11"/>
      <c r="B194" s="11" t="s">
        <v>26</v>
      </c>
      <c r="C194" s="6"/>
      <c r="D194" s="6"/>
      <c r="E194" s="1"/>
      <c r="F194" s="1"/>
      <c r="G194" s="1"/>
      <c r="H194" s="19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2"/>
      <c r="AC194" s="4"/>
      <c r="AD194" s="2"/>
      <c r="AE194" s="2"/>
      <c r="AF194" s="2"/>
      <c r="AG194" s="4"/>
      <c r="AH194" s="2"/>
      <c r="AI194" s="2">
        <f t="shared" si="24"/>
        <v>0</v>
      </c>
      <c r="AJ194" s="2">
        <f t="shared" si="25"/>
        <v>0</v>
      </c>
      <c r="AK194" s="2">
        <f t="shared" si="26"/>
        <v>0</v>
      </c>
      <c r="AL194" s="2">
        <f t="shared" si="27"/>
        <v>0</v>
      </c>
      <c r="AM194" s="2">
        <f t="shared" si="28"/>
        <v>0</v>
      </c>
      <c r="AN194" s="2">
        <f t="shared" si="29"/>
        <v>0</v>
      </c>
    </row>
    <row r="195" spans="1:40" ht="30" hidden="1" customHeight="1" x14ac:dyDescent="0.25">
      <c r="A195" s="11"/>
      <c r="B195" s="11" t="s">
        <v>26</v>
      </c>
      <c r="C195" s="6"/>
      <c r="D195" s="6"/>
      <c r="E195" s="1"/>
      <c r="F195" s="1"/>
      <c r="G195" s="1"/>
      <c r="H195" s="19"/>
      <c r="I195" s="2"/>
      <c r="J195" s="2"/>
      <c r="K195" s="2"/>
      <c r="L195" s="2"/>
      <c r="M195" s="2"/>
      <c r="N195" s="2"/>
      <c r="O195" s="2"/>
      <c r="P195" s="2"/>
      <c r="Q195" s="4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4"/>
      <c r="AD195" s="2"/>
      <c r="AE195" s="2"/>
      <c r="AF195" s="2"/>
      <c r="AG195" s="4"/>
      <c r="AH195" s="2"/>
      <c r="AI195" s="2">
        <f t="shared" si="24"/>
        <v>0</v>
      </c>
      <c r="AJ195" s="2">
        <f t="shared" si="25"/>
        <v>0</v>
      </c>
      <c r="AK195" s="2">
        <f t="shared" si="26"/>
        <v>0</v>
      </c>
      <c r="AL195" s="2">
        <f t="shared" si="27"/>
        <v>0</v>
      </c>
      <c r="AM195" s="2">
        <f t="shared" si="28"/>
        <v>0</v>
      </c>
      <c r="AN195" s="2">
        <f t="shared" si="29"/>
        <v>0</v>
      </c>
    </row>
    <row r="196" spans="1:40" ht="30" hidden="1" customHeight="1" x14ac:dyDescent="0.25">
      <c r="A196" s="11"/>
      <c r="B196" s="11" t="s">
        <v>26</v>
      </c>
      <c r="C196" s="6"/>
      <c r="D196" s="6"/>
      <c r="E196" s="1"/>
      <c r="F196" s="1"/>
      <c r="G196" s="1"/>
      <c r="H196" s="19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4"/>
      <c r="AH196" s="2"/>
      <c r="AI196" s="2">
        <f t="shared" si="24"/>
        <v>0</v>
      </c>
      <c r="AJ196" s="2">
        <f t="shared" si="25"/>
        <v>0</v>
      </c>
      <c r="AK196" s="2">
        <f t="shared" si="26"/>
        <v>0</v>
      </c>
      <c r="AL196" s="2">
        <f t="shared" si="27"/>
        <v>0</v>
      </c>
      <c r="AM196" s="2">
        <f t="shared" si="28"/>
        <v>0</v>
      </c>
      <c r="AN196" s="2">
        <f t="shared" si="29"/>
        <v>0</v>
      </c>
    </row>
    <row r="197" spans="1:40" ht="30" hidden="1" customHeight="1" x14ac:dyDescent="0.25">
      <c r="A197" s="11"/>
      <c r="B197" s="11" t="s">
        <v>26</v>
      </c>
      <c r="C197" s="6"/>
      <c r="D197" s="6"/>
      <c r="E197" s="1"/>
      <c r="F197" s="1"/>
      <c r="G197" s="1"/>
      <c r="H197" s="19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4"/>
      <c r="AH197" s="2"/>
      <c r="AI197" s="2">
        <f t="shared" si="24"/>
        <v>0</v>
      </c>
      <c r="AJ197" s="2">
        <f t="shared" si="25"/>
        <v>0</v>
      </c>
      <c r="AK197" s="2">
        <f t="shared" si="26"/>
        <v>0</v>
      </c>
      <c r="AL197" s="2">
        <f t="shared" si="27"/>
        <v>0</v>
      </c>
      <c r="AM197" s="2">
        <f t="shared" si="28"/>
        <v>0</v>
      </c>
      <c r="AN197" s="2">
        <f t="shared" si="29"/>
        <v>0</v>
      </c>
    </row>
    <row r="198" spans="1:40" ht="30" hidden="1" customHeight="1" x14ac:dyDescent="0.25">
      <c r="A198" s="11"/>
      <c r="B198" s="11" t="s">
        <v>26</v>
      </c>
      <c r="C198" s="6"/>
      <c r="D198" s="6"/>
      <c r="E198" s="1"/>
      <c r="F198" s="1"/>
      <c r="G198" s="1"/>
      <c r="H198" s="19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4"/>
      <c r="AH198" s="2"/>
      <c r="AI198" s="2">
        <f t="shared" si="24"/>
        <v>0</v>
      </c>
      <c r="AJ198" s="2">
        <f t="shared" si="25"/>
        <v>0</v>
      </c>
      <c r="AK198" s="2">
        <f t="shared" si="26"/>
        <v>0</v>
      </c>
      <c r="AL198" s="2">
        <f t="shared" si="27"/>
        <v>0</v>
      </c>
      <c r="AM198" s="2">
        <f t="shared" si="28"/>
        <v>0</v>
      </c>
      <c r="AN198" s="2">
        <f t="shared" si="29"/>
        <v>0</v>
      </c>
    </row>
    <row r="199" spans="1:40" ht="30" hidden="1" customHeight="1" x14ac:dyDescent="0.25">
      <c r="A199" s="11"/>
      <c r="B199" s="11" t="s">
        <v>26</v>
      </c>
      <c r="C199" s="6"/>
      <c r="D199" s="6"/>
      <c r="E199" s="1"/>
      <c r="F199" s="1"/>
      <c r="G199" s="1"/>
      <c r="H199" s="19"/>
      <c r="I199" s="2"/>
      <c r="J199" s="2"/>
      <c r="K199" s="2"/>
      <c r="L199" s="2"/>
      <c r="M199" s="2"/>
      <c r="N199" s="2"/>
      <c r="O199" s="2">
        <v>7358.3</v>
      </c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>
        <v>7358.3</v>
      </c>
      <c r="AB199" s="2"/>
      <c r="AC199" s="2"/>
      <c r="AD199" s="2"/>
      <c r="AE199" s="2"/>
      <c r="AF199" s="2"/>
      <c r="AG199" s="4"/>
      <c r="AH199" s="2"/>
      <c r="AI199" s="2">
        <f t="shared" si="24"/>
        <v>0</v>
      </c>
      <c r="AJ199" s="2">
        <f t="shared" si="25"/>
        <v>7358.3</v>
      </c>
      <c r="AK199" s="2">
        <f t="shared" si="26"/>
        <v>7358.3</v>
      </c>
      <c r="AL199" s="2">
        <f t="shared" si="27"/>
        <v>-7358.3</v>
      </c>
      <c r="AM199" s="2">
        <f t="shared" si="28"/>
        <v>0</v>
      </c>
      <c r="AN199" s="2">
        <f t="shared" si="29"/>
        <v>-7358.3</v>
      </c>
    </row>
    <row r="200" spans="1:40" ht="30" hidden="1" customHeight="1" x14ac:dyDescent="0.25">
      <c r="A200" s="11"/>
      <c r="B200" s="11" t="s">
        <v>26</v>
      </c>
      <c r="C200" s="6"/>
      <c r="D200" s="6"/>
      <c r="E200" s="1"/>
      <c r="F200" s="1"/>
      <c r="G200" s="1"/>
      <c r="H200" s="19"/>
      <c r="I200" s="2"/>
      <c r="J200" s="2"/>
      <c r="K200" s="2"/>
      <c r="L200" s="2"/>
      <c r="M200" s="2"/>
      <c r="N200" s="2"/>
      <c r="O200" s="2">
        <v>2724.65</v>
      </c>
      <c r="P200" s="2"/>
      <c r="Q200" s="4"/>
      <c r="R200" s="2"/>
      <c r="S200" s="2"/>
      <c r="T200" s="2"/>
      <c r="U200" s="2"/>
      <c r="V200" s="2"/>
      <c r="W200" s="2"/>
      <c r="X200" s="2"/>
      <c r="Y200" s="2"/>
      <c r="Z200" s="2"/>
      <c r="AA200" s="2">
        <v>2724.65</v>
      </c>
      <c r="AB200" s="2"/>
      <c r="AC200" s="4"/>
      <c r="AD200" s="2"/>
      <c r="AE200" s="2"/>
      <c r="AF200" s="2"/>
      <c r="AG200" s="4"/>
      <c r="AH200" s="2"/>
      <c r="AI200" s="2">
        <f t="shared" ref="AI200:AI263" si="30">H200-AG200+AH200</f>
        <v>0</v>
      </c>
      <c r="AJ200" s="2">
        <f t="shared" ref="AJ200:AJ263" si="31">SUM(I200:T200)</f>
        <v>2724.65</v>
      </c>
      <c r="AK200" s="2">
        <f t="shared" ref="AK200:AK263" si="32">SUM(U200:AF200)</f>
        <v>2724.65</v>
      </c>
      <c r="AL200" s="2">
        <f t="shared" ref="AL200:AL263" si="33">(AJ200-AK200)+(AI200-AJ200)</f>
        <v>-2724.65</v>
      </c>
      <c r="AM200" s="2">
        <f t="shared" ref="AM200:AM263" si="34">AJ200-AK200</f>
        <v>0</v>
      </c>
      <c r="AN200" s="2">
        <f t="shared" ref="AN200:AN263" si="35">AI200-AJ200</f>
        <v>-2724.65</v>
      </c>
    </row>
    <row r="201" spans="1:40" ht="30" hidden="1" customHeight="1" x14ac:dyDescent="0.25">
      <c r="A201" s="11"/>
      <c r="B201" s="11" t="s">
        <v>26</v>
      </c>
      <c r="C201" s="6"/>
      <c r="D201" s="6"/>
      <c r="E201" s="1"/>
      <c r="F201" s="1"/>
      <c r="G201" s="1"/>
      <c r="H201" s="19"/>
      <c r="I201" s="2"/>
      <c r="J201" s="2"/>
      <c r="K201" s="2"/>
      <c r="L201" s="2"/>
      <c r="M201" s="2"/>
      <c r="N201" s="2"/>
      <c r="O201" s="2">
        <v>10682.92</v>
      </c>
      <c r="P201" s="2"/>
      <c r="Q201" s="4"/>
      <c r="R201" s="2"/>
      <c r="S201" s="2"/>
      <c r="T201" s="2"/>
      <c r="U201" s="2"/>
      <c r="V201" s="2"/>
      <c r="W201" s="2"/>
      <c r="X201" s="2"/>
      <c r="Y201" s="2"/>
      <c r="Z201" s="2"/>
      <c r="AA201" s="2">
        <v>10682.92</v>
      </c>
      <c r="AB201" s="2"/>
      <c r="AC201" s="4"/>
      <c r="AD201" s="2"/>
      <c r="AE201" s="2"/>
      <c r="AF201" s="2"/>
      <c r="AG201" s="4"/>
      <c r="AH201" s="2"/>
      <c r="AI201" s="2">
        <f t="shared" si="30"/>
        <v>0</v>
      </c>
      <c r="AJ201" s="2">
        <f t="shared" si="31"/>
        <v>10682.92</v>
      </c>
      <c r="AK201" s="2">
        <f t="shared" si="32"/>
        <v>10682.92</v>
      </c>
      <c r="AL201" s="2">
        <f t="shared" si="33"/>
        <v>-10682.92</v>
      </c>
      <c r="AM201" s="2">
        <f t="shared" si="34"/>
        <v>0</v>
      </c>
      <c r="AN201" s="2">
        <f t="shared" si="35"/>
        <v>-10682.92</v>
      </c>
    </row>
    <row r="202" spans="1:40" ht="30" hidden="1" customHeight="1" x14ac:dyDescent="0.25">
      <c r="A202" s="11"/>
      <c r="B202" s="27"/>
      <c r="C202" s="6"/>
      <c r="D202" s="6"/>
      <c r="E202" s="1"/>
      <c r="F202" s="1"/>
      <c r="G202" s="1"/>
      <c r="H202" s="19"/>
      <c r="I202" s="2"/>
      <c r="J202" s="2"/>
      <c r="K202" s="2"/>
      <c r="L202" s="2"/>
      <c r="M202" s="2"/>
      <c r="N202" s="2"/>
      <c r="O202" s="2">
        <v>1500</v>
      </c>
      <c r="P202" s="2"/>
      <c r="Q202" s="2"/>
      <c r="R202" s="18"/>
      <c r="S202" s="38"/>
      <c r="T202" s="2"/>
      <c r="U202" s="2"/>
      <c r="V202" s="2"/>
      <c r="W202" s="2"/>
      <c r="X202" s="2"/>
      <c r="Y202" s="2"/>
      <c r="Z202" s="2"/>
      <c r="AA202" s="2">
        <v>1500</v>
      </c>
      <c r="AB202" s="2"/>
      <c r="AC202" s="2"/>
      <c r="AD202" s="18"/>
      <c r="AE202" s="38"/>
      <c r="AF202" s="2"/>
      <c r="AG202" s="4"/>
      <c r="AH202" s="2"/>
      <c r="AI202" s="2">
        <f t="shared" si="30"/>
        <v>0</v>
      </c>
      <c r="AJ202" s="2">
        <f t="shared" si="31"/>
        <v>1500</v>
      </c>
      <c r="AK202" s="2">
        <f t="shared" si="32"/>
        <v>1500</v>
      </c>
      <c r="AL202" s="2">
        <f t="shared" si="33"/>
        <v>-1500</v>
      </c>
      <c r="AM202" s="2">
        <f t="shared" si="34"/>
        <v>0</v>
      </c>
      <c r="AN202" s="2">
        <f t="shared" si="35"/>
        <v>-1500</v>
      </c>
    </row>
    <row r="203" spans="1:40" ht="30" hidden="1" customHeight="1" x14ac:dyDescent="0.25">
      <c r="A203" s="11"/>
      <c r="B203" s="27"/>
      <c r="C203" s="6"/>
      <c r="D203" s="6"/>
      <c r="E203" s="1"/>
      <c r="F203" s="1"/>
      <c r="G203" s="1"/>
      <c r="H203" s="19"/>
      <c r="I203" s="2"/>
      <c r="J203" s="2"/>
      <c r="K203" s="2"/>
      <c r="L203" s="2"/>
      <c r="M203" s="2"/>
      <c r="N203" s="2"/>
      <c r="O203" s="2">
        <v>1500</v>
      </c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>
        <v>1500</v>
      </c>
      <c r="AB203" s="2"/>
      <c r="AC203" s="2"/>
      <c r="AD203" s="2"/>
      <c r="AE203" s="2"/>
      <c r="AF203" s="2"/>
      <c r="AG203" s="4"/>
      <c r="AH203" s="2"/>
      <c r="AI203" s="2">
        <f t="shared" si="30"/>
        <v>0</v>
      </c>
      <c r="AJ203" s="2">
        <f t="shared" si="31"/>
        <v>1500</v>
      </c>
      <c r="AK203" s="2">
        <f t="shared" si="32"/>
        <v>1500</v>
      </c>
      <c r="AL203" s="2">
        <f t="shared" si="33"/>
        <v>-1500</v>
      </c>
      <c r="AM203" s="2">
        <f t="shared" si="34"/>
        <v>0</v>
      </c>
      <c r="AN203" s="2">
        <f t="shared" si="35"/>
        <v>-1500</v>
      </c>
    </row>
    <row r="204" spans="1:40" ht="30" hidden="1" customHeight="1" x14ac:dyDescent="0.25">
      <c r="A204" s="11"/>
      <c r="B204" s="27"/>
      <c r="C204" s="6"/>
      <c r="D204" s="6"/>
      <c r="E204" s="1"/>
      <c r="F204" s="1"/>
      <c r="G204" s="1"/>
      <c r="H204" s="19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4"/>
      <c r="AH204" s="2"/>
      <c r="AI204" s="2">
        <f t="shared" si="30"/>
        <v>0</v>
      </c>
      <c r="AJ204" s="2">
        <f t="shared" si="31"/>
        <v>0</v>
      </c>
      <c r="AK204" s="2">
        <f t="shared" si="32"/>
        <v>0</v>
      </c>
      <c r="AL204" s="2">
        <f t="shared" si="33"/>
        <v>0</v>
      </c>
      <c r="AM204" s="2">
        <f t="shared" si="34"/>
        <v>0</v>
      </c>
      <c r="AN204" s="2">
        <f t="shared" si="35"/>
        <v>0</v>
      </c>
    </row>
    <row r="205" spans="1:40" ht="30" hidden="1" customHeight="1" x14ac:dyDescent="0.25">
      <c r="A205" s="11"/>
      <c r="B205" s="27"/>
      <c r="C205" s="6"/>
      <c r="D205" s="6"/>
      <c r="E205" s="1"/>
      <c r="F205" s="1"/>
      <c r="G205" s="1"/>
      <c r="H205" s="19"/>
      <c r="I205" s="2"/>
      <c r="J205" s="2"/>
      <c r="K205" s="2"/>
      <c r="L205" s="2"/>
      <c r="M205" s="2"/>
      <c r="N205" s="2"/>
      <c r="O205" s="2">
        <v>9202.06</v>
      </c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>
        <v>9202.06</v>
      </c>
      <c r="AB205" s="2"/>
      <c r="AC205" s="2"/>
      <c r="AD205" s="2"/>
      <c r="AE205" s="2"/>
      <c r="AF205" s="2"/>
      <c r="AG205" s="4"/>
      <c r="AH205" s="2"/>
      <c r="AI205" s="2">
        <f t="shared" si="30"/>
        <v>0</v>
      </c>
      <c r="AJ205" s="2">
        <f t="shared" si="31"/>
        <v>9202.06</v>
      </c>
      <c r="AK205" s="2">
        <f t="shared" si="32"/>
        <v>9202.06</v>
      </c>
      <c r="AL205" s="2">
        <f t="shared" si="33"/>
        <v>-9202.06</v>
      </c>
      <c r="AM205" s="2">
        <f t="shared" si="34"/>
        <v>0</v>
      </c>
      <c r="AN205" s="2">
        <f t="shared" si="35"/>
        <v>-9202.06</v>
      </c>
    </row>
    <row r="206" spans="1:40" ht="30" hidden="1" customHeight="1" x14ac:dyDescent="0.25">
      <c r="A206" s="11"/>
      <c r="B206" s="27"/>
      <c r="C206" s="6"/>
      <c r="D206" s="6"/>
      <c r="E206" s="1"/>
      <c r="F206" s="1"/>
      <c r="G206" s="1"/>
      <c r="H206" s="19"/>
      <c r="I206" s="2"/>
      <c r="J206" s="2"/>
      <c r="K206" s="2"/>
      <c r="L206" s="2"/>
      <c r="M206" s="2"/>
      <c r="N206" s="2"/>
      <c r="O206" s="2"/>
      <c r="P206" s="2"/>
      <c r="Q206" s="2"/>
      <c r="R206" s="18"/>
      <c r="S206" s="2"/>
      <c r="T206" s="19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19"/>
      <c r="AG206" s="19"/>
      <c r="AH206" s="2"/>
      <c r="AI206" s="2">
        <f t="shared" si="30"/>
        <v>0</v>
      </c>
      <c r="AJ206" s="2">
        <f t="shared" si="31"/>
        <v>0</v>
      </c>
      <c r="AK206" s="2">
        <f t="shared" si="32"/>
        <v>0</v>
      </c>
      <c r="AL206" s="2">
        <f t="shared" si="33"/>
        <v>0</v>
      </c>
      <c r="AM206" s="2">
        <f t="shared" si="34"/>
        <v>0</v>
      </c>
      <c r="AN206" s="2">
        <f t="shared" si="35"/>
        <v>0</v>
      </c>
    </row>
    <row r="207" spans="1:40" ht="30" hidden="1" customHeight="1" x14ac:dyDescent="0.25">
      <c r="A207" s="11"/>
      <c r="B207" s="27"/>
      <c r="C207" s="6"/>
      <c r="D207" s="6"/>
      <c r="E207" s="1"/>
      <c r="F207" s="1"/>
      <c r="G207" s="1"/>
      <c r="H207" s="19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4">
        <v>11000</v>
      </c>
      <c r="AH207" s="2"/>
      <c r="AI207" s="2">
        <f t="shared" si="30"/>
        <v>-11000</v>
      </c>
      <c r="AJ207" s="2">
        <f t="shared" si="31"/>
        <v>0</v>
      </c>
      <c r="AK207" s="2">
        <f t="shared" si="32"/>
        <v>0</v>
      </c>
      <c r="AL207" s="2">
        <f t="shared" si="33"/>
        <v>-11000</v>
      </c>
      <c r="AM207" s="2">
        <f t="shared" si="34"/>
        <v>0</v>
      </c>
      <c r="AN207" s="2">
        <f t="shared" si="35"/>
        <v>-11000</v>
      </c>
    </row>
    <row r="208" spans="1:40" ht="30" hidden="1" customHeight="1" x14ac:dyDescent="0.25">
      <c r="A208" s="11"/>
      <c r="B208" s="27"/>
      <c r="C208" s="6"/>
      <c r="D208" s="6"/>
      <c r="E208" s="1"/>
      <c r="F208" s="1"/>
      <c r="G208" s="1"/>
      <c r="H208" s="19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4">
        <v>11000</v>
      </c>
      <c r="AH208" s="2"/>
      <c r="AI208" s="2">
        <f t="shared" si="30"/>
        <v>-11000</v>
      </c>
      <c r="AJ208" s="2">
        <f t="shared" si="31"/>
        <v>0</v>
      </c>
      <c r="AK208" s="2">
        <f t="shared" si="32"/>
        <v>0</v>
      </c>
      <c r="AL208" s="2">
        <f t="shared" si="33"/>
        <v>-11000</v>
      </c>
      <c r="AM208" s="2">
        <f t="shared" si="34"/>
        <v>0</v>
      </c>
      <c r="AN208" s="2">
        <f t="shared" si="35"/>
        <v>-11000</v>
      </c>
    </row>
    <row r="209" spans="1:40" ht="30" hidden="1" customHeight="1" x14ac:dyDescent="0.25">
      <c r="A209" s="11"/>
      <c r="B209" s="27"/>
      <c r="C209" s="6"/>
      <c r="D209" s="6"/>
      <c r="E209" s="1"/>
      <c r="F209" s="1"/>
      <c r="G209" s="1"/>
      <c r="H209" s="19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19"/>
      <c r="AH209" s="2"/>
      <c r="AI209" s="2">
        <f t="shared" si="30"/>
        <v>0</v>
      </c>
      <c r="AJ209" s="2">
        <f t="shared" si="31"/>
        <v>0</v>
      </c>
      <c r="AK209" s="2">
        <f t="shared" si="32"/>
        <v>0</v>
      </c>
      <c r="AL209" s="2">
        <f t="shared" si="33"/>
        <v>0</v>
      </c>
      <c r="AM209" s="2">
        <f t="shared" si="34"/>
        <v>0</v>
      </c>
      <c r="AN209" s="2">
        <f t="shared" si="35"/>
        <v>0</v>
      </c>
    </row>
    <row r="210" spans="1:40" ht="30" hidden="1" customHeight="1" x14ac:dyDescent="0.25">
      <c r="A210" s="11"/>
      <c r="B210" s="27"/>
      <c r="C210" s="6"/>
      <c r="D210" s="6"/>
      <c r="E210" s="1"/>
      <c r="F210" s="1"/>
      <c r="G210" s="1"/>
      <c r="H210" s="19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18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18"/>
      <c r="AF210" s="2"/>
      <c r="AG210" s="19"/>
      <c r="AH210" s="2"/>
      <c r="AI210" s="2">
        <f t="shared" si="30"/>
        <v>0</v>
      </c>
      <c r="AJ210" s="2">
        <f t="shared" si="31"/>
        <v>0</v>
      </c>
      <c r="AK210" s="2">
        <f t="shared" si="32"/>
        <v>0</v>
      </c>
      <c r="AL210" s="2">
        <f t="shared" si="33"/>
        <v>0</v>
      </c>
      <c r="AM210" s="2">
        <f t="shared" si="34"/>
        <v>0</v>
      </c>
      <c r="AN210" s="2">
        <f t="shared" si="35"/>
        <v>0</v>
      </c>
    </row>
    <row r="211" spans="1:40" ht="30" hidden="1" customHeight="1" x14ac:dyDescent="0.25">
      <c r="A211" s="11"/>
      <c r="B211" s="27"/>
      <c r="C211" s="6"/>
      <c r="D211" s="6"/>
      <c r="E211" s="1"/>
      <c r="F211" s="1"/>
      <c r="G211" s="1"/>
      <c r="H211" s="19"/>
      <c r="I211" s="2"/>
      <c r="J211" s="2"/>
      <c r="K211" s="2"/>
      <c r="L211" s="2"/>
      <c r="M211" s="2"/>
      <c r="N211" s="2"/>
      <c r="O211" s="2">
        <v>4128.3599999999997</v>
      </c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>
        <v>4128.3599999999997</v>
      </c>
      <c r="AB211" s="2"/>
      <c r="AC211" s="2"/>
      <c r="AD211" s="2"/>
      <c r="AE211" s="2"/>
      <c r="AF211" s="2"/>
      <c r="AG211" s="2"/>
      <c r="AH211" s="2"/>
      <c r="AI211" s="2">
        <f t="shared" si="30"/>
        <v>0</v>
      </c>
      <c r="AJ211" s="2">
        <f t="shared" si="31"/>
        <v>4128.3599999999997</v>
      </c>
      <c r="AK211" s="2">
        <f t="shared" si="32"/>
        <v>4128.3599999999997</v>
      </c>
      <c r="AL211" s="2">
        <f t="shared" si="33"/>
        <v>-4128.3599999999997</v>
      </c>
      <c r="AM211" s="2">
        <f t="shared" si="34"/>
        <v>0</v>
      </c>
      <c r="AN211" s="2">
        <f t="shared" si="35"/>
        <v>-4128.3599999999997</v>
      </c>
    </row>
    <row r="212" spans="1:40" ht="30" hidden="1" customHeight="1" x14ac:dyDescent="0.25">
      <c r="A212" s="11"/>
      <c r="B212" s="27"/>
      <c r="C212" s="9"/>
      <c r="D212" s="6"/>
      <c r="E212" s="1"/>
      <c r="F212" s="1"/>
      <c r="G212" s="1"/>
      <c r="H212" s="19"/>
      <c r="I212" s="2"/>
      <c r="J212" s="2"/>
      <c r="K212" s="2"/>
      <c r="L212" s="2"/>
      <c r="M212" s="2"/>
      <c r="N212" s="2"/>
      <c r="O212" s="2"/>
      <c r="P212" s="2">
        <v>8379.7099999999991</v>
      </c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>
        <v>8379.7099999999991</v>
      </c>
      <c r="AC212" s="2"/>
      <c r="AD212" s="2"/>
      <c r="AE212" s="2"/>
      <c r="AF212" s="2"/>
      <c r="AG212" s="19"/>
      <c r="AH212" s="2"/>
      <c r="AI212" s="2">
        <f t="shared" si="30"/>
        <v>0</v>
      </c>
      <c r="AJ212" s="2">
        <f t="shared" si="31"/>
        <v>8379.7099999999991</v>
      </c>
      <c r="AK212" s="2">
        <f t="shared" si="32"/>
        <v>8379.7099999999991</v>
      </c>
      <c r="AL212" s="2">
        <f t="shared" si="33"/>
        <v>-8379.7099999999991</v>
      </c>
      <c r="AM212" s="2">
        <f t="shared" si="34"/>
        <v>0</v>
      </c>
      <c r="AN212" s="2">
        <f t="shared" si="35"/>
        <v>-8379.7099999999991</v>
      </c>
    </row>
    <row r="213" spans="1:40" ht="30" hidden="1" customHeight="1" x14ac:dyDescent="0.25">
      <c r="A213" s="11"/>
      <c r="B213" s="27"/>
      <c r="C213" s="9"/>
      <c r="D213" s="6"/>
      <c r="E213" s="1"/>
      <c r="F213" s="1"/>
      <c r="G213" s="1"/>
      <c r="H213" s="19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4"/>
      <c r="AH213" s="2"/>
      <c r="AI213" s="2">
        <f t="shared" si="30"/>
        <v>0</v>
      </c>
      <c r="AJ213" s="2">
        <f t="shared" si="31"/>
        <v>0</v>
      </c>
      <c r="AK213" s="2">
        <f t="shared" si="32"/>
        <v>0</v>
      </c>
      <c r="AL213" s="2">
        <f t="shared" si="33"/>
        <v>0</v>
      </c>
      <c r="AM213" s="2">
        <f t="shared" si="34"/>
        <v>0</v>
      </c>
      <c r="AN213" s="2">
        <f t="shared" si="35"/>
        <v>0</v>
      </c>
    </row>
    <row r="214" spans="1:40" ht="30" hidden="1" customHeight="1" x14ac:dyDescent="0.25">
      <c r="A214" s="11"/>
      <c r="B214" s="27"/>
      <c r="C214" s="9"/>
      <c r="D214" s="6"/>
      <c r="E214" s="1"/>
      <c r="F214" s="1"/>
      <c r="G214" s="1"/>
      <c r="H214" s="19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19"/>
      <c r="AH214" s="2"/>
      <c r="AI214" s="2">
        <f t="shared" si="30"/>
        <v>0</v>
      </c>
      <c r="AJ214" s="2">
        <f t="shared" si="31"/>
        <v>0</v>
      </c>
      <c r="AK214" s="2">
        <f t="shared" si="32"/>
        <v>0</v>
      </c>
      <c r="AL214" s="2">
        <f t="shared" si="33"/>
        <v>0</v>
      </c>
      <c r="AM214" s="2">
        <f t="shared" si="34"/>
        <v>0</v>
      </c>
      <c r="AN214" s="2">
        <f t="shared" si="35"/>
        <v>0</v>
      </c>
    </row>
    <row r="215" spans="1:40" ht="30" hidden="1" customHeight="1" x14ac:dyDescent="0.25">
      <c r="A215" s="11"/>
      <c r="B215" s="27"/>
      <c r="C215" s="9"/>
      <c r="D215" s="6"/>
      <c r="E215" s="1"/>
      <c r="F215" s="1"/>
      <c r="G215" s="1"/>
      <c r="H215" s="19"/>
      <c r="I215" s="2"/>
      <c r="J215" s="2"/>
      <c r="K215" s="2"/>
      <c r="L215" s="2"/>
      <c r="M215" s="2"/>
      <c r="N215" s="2"/>
      <c r="O215" s="2"/>
      <c r="P215" s="18">
        <v>8000</v>
      </c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>
        <v>8000</v>
      </c>
      <c r="AC215" s="2"/>
      <c r="AD215" s="2"/>
      <c r="AE215" s="2"/>
      <c r="AF215" s="2"/>
      <c r="AG215" s="19"/>
      <c r="AH215" s="2"/>
      <c r="AI215" s="2">
        <f t="shared" si="30"/>
        <v>0</v>
      </c>
      <c r="AJ215" s="2">
        <f t="shared" si="31"/>
        <v>8000</v>
      </c>
      <c r="AK215" s="2">
        <f t="shared" si="32"/>
        <v>8000</v>
      </c>
      <c r="AL215" s="2">
        <f t="shared" si="33"/>
        <v>-8000</v>
      </c>
      <c r="AM215" s="2">
        <f t="shared" si="34"/>
        <v>0</v>
      </c>
      <c r="AN215" s="2">
        <f t="shared" si="35"/>
        <v>-8000</v>
      </c>
    </row>
    <row r="216" spans="1:40" ht="30" hidden="1" customHeight="1" x14ac:dyDescent="0.25">
      <c r="A216" s="11"/>
      <c r="B216" s="27"/>
      <c r="C216" s="9"/>
      <c r="D216" s="6"/>
      <c r="E216" s="1"/>
      <c r="F216" s="1"/>
      <c r="G216" s="1"/>
      <c r="H216" s="19"/>
      <c r="I216" s="2"/>
      <c r="J216" s="2"/>
      <c r="K216" s="2"/>
      <c r="L216" s="2"/>
      <c r="M216" s="2"/>
      <c r="N216" s="2"/>
      <c r="O216" s="2"/>
      <c r="P216" s="18">
        <v>985</v>
      </c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>
        <v>985</v>
      </c>
      <c r="AC216" s="2"/>
      <c r="AD216" s="2"/>
      <c r="AE216" s="2"/>
      <c r="AF216" s="2"/>
      <c r="AG216" s="19"/>
      <c r="AH216" s="2"/>
      <c r="AI216" s="2">
        <f t="shared" si="30"/>
        <v>0</v>
      </c>
      <c r="AJ216" s="2">
        <f t="shared" si="31"/>
        <v>985</v>
      </c>
      <c r="AK216" s="2">
        <f t="shared" si="32"/>
        <v>985</v>
      </c>
      <c r="AL216" s="2">
        <f t="shared" si="33"/>
        <v>-985</v>
      </c>
      <c r="AM216" s="2">
        <f t="shared" si="34"/>
        <v>0</v>
      </c>
      <c r="AN216" s="2">
        <f t="shared" si="35"/>
        <v>-985</v>
      </c>
    </row>
    <row r="217" spans="1:40" ht="30" hidden="1" customHeight="1" x14ac:dyDescent="0.25">
      <c r="A217" s="11"/>
      <c r="B217" s="27"/>
      <c r="C217" s="9"/>
      <c r="D217" s="6"/>
      <c r="E217" s="1"/>
      <c r="F217" s="1"/>
      <c r="G217" s="1"/>
      <c r="H217" s="19"/>
      <c r="I217" s="2"/>
      <c r="J217" s="2"/>
      <c r="K217" s="2"/>
      <c r="L217" s="2"/>
      <c r="M217" s="2"/>
      <c r="N217" s="2"/>
      <c r="O217" s="2"/>
      <c r="P217" s="18">
        <v>282</v>
      </c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>
        <v>282</v>
      </c>
      <c r="AC217" s="2"/>
      <c r="AD217" s="2"/>
      <c r="AE217" s="2"/>
      <c r="AF217" s="2"/>
      <c r="AG217" s="19"/>
      <c r="AH217" s="2"/>
      <c r="AI217" s="2">
        <f t="shared" si="30"/>
        <v>0</v>
      </c>
      <c r="AJ217" s="2">
        <f t="shared" si="31"/>
        <v>282</v>
      </c>
      <c r="AK217" s="2">
        <f t="shared" si="32"/>
        <v>282</v>
      </c>
      <c r="AL217" s="2">
        <f t="shared" si="33"/>
        <v>-282</v>
      </c>
      <c r="AM217" s="2">
        <f t="shared" si="34"/>
        <v>0</v>
      </c>
      <c r="AN217" s="2">
        <f t="shared" si="35"/>
        <v>-282</v>
      </c>
    </row>
    <row r="218" spans="1:40" ht="30" hidden="1" customHeight="1" x14ac:dyDescent="0.25">
      <c r="A218" s="11"/>
      <c r="B218" s="27"/>
      <c r="C218" s="9"/>
      <c r="D218" s="6"/>
      <c r="E218" s="1"/>
      <c r="F218" s="1"/>
      <c r="G218" s="1"/>
      <c r="H218" s="19"/>
      <c r="I218" s="2"/>
      <c r="J218" s="2"/>
      <c r="K218" s="2"/>
      <c r="L218" s="2"/>
      <c r="M218" s="2"/>
      <c r="N218" s="2"/>
      <c r="O218" s="2"/>
      <c r="P218" s="18">
        <v>1240</v>
      </c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>
        <v>1240</v>
      </c>
      <c r="AC218" s="2"/>
      <c r="AD218" s="2"/>
      <c r="AE218" s="2"/>
      <c r="AF218" s="2"/>
      <c r="AG218" s="19"/>
      <c r="AH218" s="2"/>
      <c r="AI218" s="2">
        <f t="shared" si="30"/>
        <v>0</v>
      </c>
      <c r="AJ218" s="2">
        <f t="shared" si="31"/>
        <v>1240</v>
      </c>
      <c r="AK218" s="2">
        <f t="shared" si="32"/>
        <v>1240</v>
      </c>
      <c r="AL218" s="2">
        <f t="shared" si="33"/>
        <v>-1240</v>
      </c>
      <c r="AM218" s="2">
        <f t="shared" si="34"/>
        <v>0</v>
      </c>
      <c r="AN218" s="2">
        <f t="shared" si="35"/>
        <v>-1240</v>
      </c>
    </row>
    <row r="219" spans="1:40" ht="30" hidden="1" customHeight="1" x14ac:dyDescent="0.25">
      <c r="A219" s="11"/>
      <c r="B219" s="27"/>
      <c r="C219" s="9"/>
      <c r="D219" s="6"/>
      <c r="E219" s="1"/>
      <c r="F219" s="1"/>
      <c r="G219" s="1"/>
      <c r="H219" s="19"/>
      <c r="I219" s="2"/>
      <c r="J219" s="2"/>
      <c r="K219" s="2"/>
      <c r="L219" s="2"/>
      <c r="M219" s="2"/>
      <c r="N219" s="2"/>
      <c r="O219" s="2"/>
      <c r="P219" s="18">
        <v>75</v>
      </c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>
        <v>75</v>
      </c>
      <c r="AC219" s="2"/>
      <c r="AD219" s="2"/>
      <c r="AE219" s="2"/>
      <c r="AF219" s="2"/>
      <c r="AG219" s="19"/>
      <c r="AH219" s="2"/>
      <c r="AI219" s="2">
        <f t="shared" si="30"/>
        <v>0</v>
      </c>
      <c r="AJ219" s="2">
        <f t="shared" si="31"/>
        <v>75</v>
      </c>
      <c r="AK219" s="2">
        <f t="shared" si="32"/>
        <v>75</v>
      </c>
      <c r="AL219" s="2">
        <f t="shared" si="33"/>
        <v>-75</v>
      </c>
      <c r="AM219" s="2">
        <f t="shared" si="34"/>
        <v>0</v>
      </c>
      <c r="AN219" s="2">
        <f t="shared" si="35"/>
        <v>-75</v>
      </c>
    </row>
    <row r="220" spans="1:40" ht="30" hidden="1" customHeight="1" x14ac:dyDescent="0.25">
      <c r="A220" s="11"/>
      <c r="B220" s="27"/>
      <c r="C220" s="9"/>
      <c r="D220" s="6"/>
      <c r="E220" s="1"/>
      <c r="F220" s="1"/>
      <c r="G220" s="1"/>
      <c r="H220" s="19"/>
      <c r="I220" s="2"/>
      <c r="J220" s="2"/>
      <c r="K220" s="2"/>
      <c r="L220" s="2"/>
      <c r="M220" s="2"/>
      <c r="N220" s="2"/>
      <c r="O220" s="2"/>
      <c r="P220" s="18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19"/>
      <c r="AH220" s="2"/>
      <c r="AI220" s="2">
        <f t="shared" si="30"/>
        <v>0</v>
      </c>
      <c r="AJ220" s="2">
        <f t="shared" si="31"/>
        <v>0</v>
      </c>
      <c r="AK220" s="2">
        <f t="shared" si="32"/>
        <v>0</v>
      </c>
      <c r="AL220" s="2">
        <f t="shared" si="33"/>
        <v>0</v>
      </c>
      <c r="AM220" s="2">
        <f t="shared" si="34"/>
        <v>0</v>
      </c>
      <c r="AN220" s="2">
        <f t="shared" si="35"/>
        <v>0</v>
      </c>
    </row>
    <row r="221" spans="1:40" ht="30" hidden="1" customHeight="1" x14ac:dyDescent="0.25">
      <c r="A221" s="11"/>
      <c r="B221" s="27"/>
      <c r="C221" s="9"/>
      <c r="D221" s="6"/>
      <c r="E221" s="1"/>
      <c r="F221" s="1"/>
      <c r="G221" s="1"/>
      <c r="H221" s="19"/>
      <c r="I221" s="2"/>
      <c r="J221" s="2"/>
      <c r="K221" s="2"/>
      <c r="L221" s="2"/>
      <c r="M221" s="2"/>
      <c r="N221" s="2"/>
      <c r="O221" s="2"/>
      <c r="P221" s="18">
        <v>16825</v>
      </c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>
        <v>16825</v>
      </c>
      <c r="AC221" s="2"/>
      <c r="AD221" s="2"/>
      <c r="AE221" s="2"/>
      <c r="AF221" s="2"/>
      <c r="AG221" s="19"/>
      <c r="AH221" s="2"/>
      <c r="AI221" s="2">
        <f t="shared" si="30"/>
        <v>0</v>
      </c>
      <c r="AJ221" s="2">
        <f t="shared" si="31"/>
        <v>16825</v>
      </c>
      <c r="AK221" s="2">
        <f t="shared" si="32"/>
        <v>16825</v>
      </c>
      <c r="AL221" s="2">
        <f t="shared" si="33"/>
        <v>-16825</v>
      </c>
      <c r="AM221" s="2">
        <f t="shared" si="34"/>
        <v>0</v>
      </c>
      <c r="AN221" s="2">
        <f t="shared" si="35"/>
        <v>-16825</v>
      </c>
    </row>
    <row r="222" spans="1:40" ht="30" hidden="1" customHeight="1" x14ac:dyDescent="0.25">
      <c r="A222" s="11"/>
      <c r="B222" s="27"/>
      <c r="C222" s="9"/>
      <c r="D222" s="6"/>
      <c r="E222" s="1"/>
      <c r="F222" s="1"/>
      <c r="G222" s="1"/>
      <c r="H222" s="19"/>
      <c r="I222" s="2"/>
      <c r="J222" s="2"/>
      <c r="K222" s="2"/>
      <c r="L222" s="2"/>
      <c r="M222" s="2"/>
      <c r="N222" s="2"/>
      <c r="O222" s="2"/>
      <c r="P222" s="18">
        <v>5000</v>
      </c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>
        <v>5000</v>
      </c>
      <c r="AC222" s="2"/>
      <c r="AD222" s="2"/>
      <c r="AE222" s="2"/>
      <c r="AF222" s="2"/>
      <c r="AG222" s="19"/>
      <c r="AH222" s="2"/>
      <c r="AI222" s="2">
        <f t="shared" si="30"/>
        <v>0</v>
      </c>
      <c r="AJ222" s="2">
        <f t="shared" si="31"/>
        <v>5000</v>
      </c>
      <c r="AK222" s="2">
        <f t="shared" si="32"/>
        <v>5000</v>
      </c>
      <c r="AL222" s="2">
        <f t="shared" si="33"/>
        <v>-5000</v>
      </c>
      <c r="AM222" s="2">
        <f t="shared" si="34"/>
        <v>0</v>
      </c>
      <c r="AN222" s="2">
        <f t="shared" si="35"/>
        <v>-5000</v>
      </c>
    </row>
    <row r="223" spans="1:40" ht="30" hidden="1" customHeight="1" x14ac:dyDescent="0.25">
      <c r="A223" s="11"/>
      <c r="B223" s="27"/>
      <c r="C223" s="9"/>
      <c r="D223" s="6"/>
      <c r="E223" s="1"/>
      <c r="F223" s="1"/>
      <c r="G223" s="1"/>
      <c r="H223" s="19"/>
      <c r="I223" s="2"/>
      <c r="J223" s="2"/>
      <c r="K223" s="2"/>
      <c r="L223" s="2"/>
      <c r="M223" s="2"/>
      <c r="N223" s="2"/>
      <c r="O223" s="2"/>
      <c r="P223" s="18">
        <v>900</v>
      </c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>
        <v>900</v>
      </c>
      <c r="AC223" s="2"/>
      <c r="AD223" s="2"/>
      <c r="AE223" s="2"/>
      <c r="AF223" s="2"/>
      <c r="AG223" s="19"/>
      <c r="AH223" s="2"/>
      <c r="AI223" s="2">
        <f t="shared" si="30"/>
        <v>0</v>
      </c>
      <c r="AJ223" s="2">
        <f t="shared" si="31"/>
        <v>900</v>
      </c>
      <c r="AK223" s="2">
        <f t="shared" si="32"/>
        <v>900</v>
      </c>
      <c r="AL223" s="2">
        <f t="shared" si="33"/>
        <v>-900</v>
      </c>
      <c r="AM223" s="2">
        <f t="shared" si="34"/>
        <v>0</v>
      </c>
      <c r="AN223" s="2">
        <f t="shared" si="35"/>
        <v>-900</v>
      </c>
    </row>
    <row r="224" spans="1:40" ht="30" hidden="1" customHeight="1" x14ac:dyDescent="0.25">
      <c r="A224" s="11"/>
      <c r="B224" s="27"/>
      <c r="C224" s="9"/>
      <c r="D224" s="6"/>
      <c r="E224" s="1"/>
      <c r="F224" s="1"/>
      <c r="G224" s="1"/>
      <c r="H224" s="19"/>
      <c r="I224" s="2"/>
      <c r="J224" s="2"/>
      <c r="K224" s="2"/>
      <c r="L224" s="2"/>
      <c r="M224" s="2"/>
      <c r="N224" s="2"/>
      <c r="O224" s="2"/>
      <c r="P224" s="15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19"/>
      <c r="AH224" s="2"/>
      <c r="AI224" s="2">
        <f t="shared" si="30"/>
        <v>0</v>
      </c>
      <c r="AJ224" s="2">
        <f t="shared" si="31"/>
        <v>0</v>
      </c>
      <c r="AK224" s="2">
        <f t="shared" si="32"/>
        <v>0</v>
      </c>
      <c r="AL224" s="2">
        <f t="shared" si="33"/>
        <v>0</v>
      </c>
      <c r="AM224" s="2">
        <f t="shared" si="34"/>
        <v>0</v>
      </c>
      <c r="AN224" s="2">
        <f t="shared" si="35"/>
        <v>0</v>
      </c>
    </row>
    <row r="225" spans="1:40" ht="30" hidden="1" customHeight="1" x14ac:dyDescent="0.25">
      <c r="A225" s="11"/>
      <c r="B225" s="27"/>
      <c r="C225" s="9"/>
      <c r="D225" s="6"/>
      <c r="E225" s="1"/>
      <c r="F225" s="1"/>
      <c r="G225" s="1"/>
      <c r="H225" s="19"/>
      <c r="I225" s="2"/>
      <c r="J225" s="2"/>
      <c r="K225" s="2"/>
      <c r="L225" s="2"/>
      <c r="M225" s="2"/>
      <c r="N225" s="2"/>
      <c r="O225" s="2"/>
      <c r="P225" s="37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19"/>
      <c r="AH225" s="2"/>
      <c r="AI225" s="2">
        <f t="shared" si="30"/>
        <v>0</v>
      </c>
      <c r="AJ225" s="2">
        <f t="shared" si="31"/>
        <v>0</v>
      </c>
      <c r="AK225" s="2">
        <f t="shared" si="32"/>
        <v>0</v>
      </c>
      <c r="AL225" s="2">
        <f t="shared" si="33"/>
        <v>0</v>
      </c>
      <c r="AM225" s="2">
        <f t="shared" si="34"/>
        <v>0</v>
      </c>
      <c r="AN225" s="2">
        <f t="shared" si="35"/>
        <v>0</v>
      </c>
    </row>
    <row r="226" spans="1:40" ht="30" hidden="1" customHeight="1" x14ac:dyDescent="0.25">
      <c r="A226" s="11"/>
      <c r="B226" s="27"/>
      <c r="C226" s="9"/>
      <c r="D226" s="6"/>
      <c r="E226" s="1"/>
      <c r="F226" s="1"/>
      <c r="G226" s="1"/>
      <c r="H226" s="19"/>
      <c r="I226" s="16"/>
      <c r="J226" s="16"/>
      <c r="K226" s="16"/>
      <c r="L226" s="16"/>
      <c r="M226" s="16"/>
      <c r="N226" s="16"/>
      <c r="O226" s="16"/>
      <c r="P226" s="18">
        <v>5000</v>
      </c>
      <c r="Q226" s="16"/>
      <c r="R226" s="16"/>
      <c r="S226" s="16"/>
      <c r="T226" s="4"/>
      <c r="U226" s="16"/>
      <c r="V226" s="16"/>
      <c r="W226" s="16"/>
      <c r="X226" s="16"/>
      <c r="Y226" s="16"/>
      <c r="Z226" s="16"/>
      <c r="AA226" s="16"/>
      <c r="AB226" s="4">
        <v>5000</v>
      </c>
      <c r="AC226" s="16"/>
      <c r="AD226" s="16"/>
      <c r="AE226" s="16"/>
      <c r="AF226" s="4"/>
      <c r="AG226" s="16"/>
      <c r="AH226" s="16"/>
      <c r="AI226" s="2">
        <f t="shared" si="30"/>
        <v>0</v>
      </c>
      <c r="AJ226" s="2">
        <f t="shared" si="31"/>
        <v>5000</v>
      </c>
      <c r="AK226" s="2">
        <f t="shared" si="32"/>
        <v>5000</v>
      </c>
      <c r="AL226" s="2">
        <f t="shared" si="33"/>
        <v>-5000</v>
      </c>
      <c r="AM226" s="2">
        <f t="shared" si="34"/>
        <v>0</v>
      </c>
      <c r="AN226" s="2">
        <f t="shared" si="35"/>
        <v>-5000</v>
      </c>
    </row>
    <row r="227" spans="1:40" ht="30" hidden="1" customHeight="1" x14ac:dyDescent="0.25">
      <c r="A227" s="11"/>
      <c r="B227" s="27"/>
      <c r="C227" s="9"/>
      <c r="D227" s="6"/>
      <c r="E227" s="1"/>
      <c r="F227" s="1"/>
      <c r="G227" s="1"/>
      <c r="H227" s="19"/>
      <c r="I227" s="16"/>
      <c r="J227" s="16"/>
      <c r="K227" s="16"/>
      <c r="L227" s="16"/>
      <c r="M227" s="16"/>
      <c r="N227" s="16"/>
      <c r="O227" s="16"/>
      <c r="P227" s="37"/>
      <c r="Q227" s="16"/>
      <c r="R227" s="16"/>
      <c r="S227" s="16"/>
      <c r="T227" s="4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4"/>
      <c r="AG227" s="16"/>
      <c r="AH227" s="16"/>
      <c r="AI227" s="2">
        <f t="shared" si="30"/>
        <v>0</v>
      </c>
      <c r="AJ227" s="2">
        <f t="shared" si="31"/>
        <v>0</v>
      </c>
      <c r="AK227" s="2">
        <f t="shared" si="32"/>
        <v>0</v>
      </c>
      <c r="AL227" s="2">
        <f t="shared" si="33"/>
        <v>0</v>
      </c>
      <c r="AM227" s="2">
        <f t="shared" si="34"/>
        <v>0</v>
      </c>
      <c r="AN227" s="2">
        <f t="shared" si="35"/>
        <v>0</v>
      </c>
    </row>
    <row r="228" spans="1:40" ht="30" hidden="1" customHeight="1" x14ac:dyDescent="0.25">
      <c r="A228" s="11"/>
      <c r="B228" s="27"/>
      <c r="C228" s="9"/>
      <c r="D228" s="6"/>
      <c r="E228" s="1"/>
      <c r="F228" s="1"/>
      <c r="G228" s="1"/>
      <c r="H228" s="19"/>
      <c r="I228" s="16"/>
      <c r="J228" s="16"/>
      <c r="K228" s="16"/>
      <c r="L228" s="16"/>
      <c r="M228" s="16"/>
      <c r="N228" s="16"/>
      <c r="O228" s="16"/>
      <c r="P228" s="37"/>
      <c r="Q228" s="16"/>
      <c r="R228" s="16"/>
      <c r="S228" s="16"/>
      <c r="T228" s="4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4"/>
      <c r="AG228" s="16"/>
      <c r="AH228" s="16"/>
      <c r="AI228" s="2">
        <f t="shared" si="30"/>
        <v>0</v>
      </c>
      <c r="AJ228" s="2">
        <f t="shared" si="31"/>
        <v>0</v>
      </c>
      <c r="AK228" s="2">
        <f t="shared" si="32"/>
        <v>0</v>
      </c>
      <c r="AL228" s="2">
        <f t="shared" si="33"/>
        <v>0</v>
      </c>
      <c r="AM228" s="2">
        <f t="shared" si="34"/>
        <v>0</v>
      </c>
      <c r="AN228" s="2">
        <f t="shared" si="35"/>
        <v>0</v>
      </c>
    </row>
    <row r="229" spans="1:40" ht="30" hidden="1" customHeight="1" x14ac:dyDescent="0.25">
      <c r="A229" s="11"/>
      <c r="B229" s="27"/>
      <c r="C229" s="9"/>
      <c r="D229" s="6"/>
      <c r="E229" s="1"/>
      <c r="F229" s="1"/>
      <c r="G229" s="1"/>
      <c r="H229" s="19"/>
      <c r="I229" s="16"/>
      <c r="J229" s="16"/>
      <c r="K229" s="16"/>
      <c r="L229" s="16"/>
      <c r="M229" s="16"/>
      <c r="N229" s="16"/>
      <c r="O229" s="16"/>
      <c r="P229" s="37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2">
        <f t="shared" si="30"/>
        <v>0</v>
      </c>
      <c r="AJ229" s="2">
        <f t="shared" si="31"/>
        <v>0</v>
      </c>
      <c r="AK229" s="2">
        <f t="shared" si="32"/>
        <v>0</v>
      </c>
      <c r="AL229" s="2">
        <f t="shared" si="33"/>
        <v>0</v>
      </c>
      <c r="AM229" s="2">
        <f t="shared" si="34"/>
        <v>0</v>
      </c>
      <c r="AN229" s="2">
        <f t="shared" si="35"/>
        <v>0</v>
      </c>
    </row>
    <row r="230" spans="1:40" ht="30" hidden="1" customHeight="1" x14ac:dyDescent="0.25">
      <c r="A230" s="11"/>
      <c r="B230" s="27"/>
      <c r="C230" s="9"/>
      <c r="D230" s="6"/>
      <c r="E230" s="1"/>
      <c r="F230" s="1"/>
      <c r="G230" s="1"/>
      <c r="H230" s="19"/>
      <c r="I230" s="16"/>
      <c r="J230" s="16"/>
      <c r="K230" s="16"/>
      <c r="L230" s="16"/>
      <c r="M230" s="16"/>
      <c r="N230" s="16"/>
      <c r="O230" s="16"/>
      <c r="P230" s="37"/>
      <c r="Q230" s="16"/>
      <c r="R230" s="16"/>
      <c r="S230" s="4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4"/>
      <c r="AF230" s="16"/>
      <c r="AG230" s="16"/>
      <c r="AH230" s="16"/>
      <c r="AI230" s="2">
        <f t="shared" si="30"/>
        <v>0</v>
      </c>
      <c r="AJ230" s="2">
        <f t="shared" si="31"/>
        <v>0</v>
      </c>
      <c r="AK230" s="2">
        <f t="shared" si="32"/>
        <v>0</v>
      </c>
      <c r="AL230" s="2">
        <f t="shared" si="33"/>
        <v>0</v>
      </c>
      <c r="AM230" s="2">
        <f t="shared" si="34"/>
        <v>0</v>
      </c>
      <c r="AN230" s="2">
        <f t="shared" si="35"/>
        <v>0</v>
      </c>
    </row>
    <row r="231" spans="1:40" ht="30" hidden="1" customHeight="1" x14ac:dyDescent="0.25">
      <c r="A231" s="11"/>
      <c r="B231" s="27"/>
      <c r="C231" s="9"/>
      <c r="D231" s="6"/>
      <c r="E231" s="1"/>
      <c r="F231" s="1"/>
      <c r="G231" s="1"/>
      <c r="H231" s="19"/>
      <c r="I231" s="16"/>
      <c r="J231" s="16"/>
      <c r="K231" s="16"/>
      <c r="L231" s="16"/>
      <c r="M231" s="16"/>
      <c r="N231" s="16"/>
      <c r="O231" s="16"/>
      <c r="P231" s="37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2">
        <f t="shared" si="30"/>
        <v>0</v>
      </c>
      <c r="AJ231" s="2">
        <f t="shared" si="31"/>
        <v>0</v>
      </c>
      <c r="AK231" s="2">
        <f t="shared" si="32"/>
        <v>0</v>
      </c>
      <c r="AL231" s="2">
        <f t="shared" si="33"/>
        <v>0</v>
      </c>
      <c r="AM231" s="2">
        <f t="shared" si="34"/>
        <v>0</v>
      </c>
      <c r="AN231" s="2">
        <f t="shared" si="35"/>
        <v>0</v>
      </c>
    </row>
    <row r="232" spans="1:40" ht="30" hidden="1" customHeight="1" x14ac:dyDescent="0.25">
      <c r="A232" s="11"/>
      <c r="B232" s="27"/>
      <c r="C232" s="9"/>
      <c r="D232" s="6"/>
      <c r="E232" s="1"/>
      <c r="F232" s="1"/>
      <c r="G232" s="1"/>
      <c r="H232" s="19"/>
      <c r="I232" s="16"/>
      <c r="J232" s="16"/>
      <c r="K232" s="16"/>
      <c r="L232" s="16"/>
      <c r="M232" s="16"/>
      <c r="N232" s="16"/>
      <c r="O232" s="16"/>
      <c r="P232" s="37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2">
        <f t="shared" si="30"/>
        <v>0</v>
      </c>
      <c r="AJ232" s="2">
        <f t="shared" si="31"/>
        <v>0</v>
      </c>
      <c r="AK232" s="2">
        <f t="shared" si="32"/>
        <v>0</v>
      </c>
      <c r="AL232" s="2">
        <f t="shared" si="33"/>
        <v>0</v>
      </c>
      <c r="AM232" s="2">
        <f t="shared" si="34"/>
        <v>0</v>
      </c>
      <c r="AN232" s="2">
        <f t="shared" si="35"/>
        <v>0</v>
      </c>
    </row>
    <row r="233" spans="1:40" ht="30" hidden="1" customHeight="1" x14ac:dyDescent="0.25">
      <c r="A233" s="11"/>
      <c r="B233" s="27"/>
      <c r="C233" s="9"/>
      <c r="D233" s="6"/>
      <c r="E233" s="1"/>
      <c r="F233" s="1"/>
      <c r="G233" s="1"/>
      <c r="H233" s="19"/>
      <c r="I233" s="16"/>
      <c r="J233" s="16"/>
      <c r="K233" s="16"/>
      <c r="L233" s="16"/>
      <c r="M233" s="16"/>
      <c r="N233" s="16"/>
      <c r="O233" s="16"/>
      <c r="P233" s="37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2">
        <f t="shared" si="30"/>
        <v>0</v>
      </c>
      <c r="AJ233" s="2">
        <f t="shared" si="31"/>
        <v>0</v>
      </c>
      <c r="AK233" s="2">
        <f t="shared" si="32"/>
        <v>0</v>
      </c>
      <c r="AL233" s="2">
        <f t="shared" si="33"/>
        <v>0</v>
      </c>
      <c r="AM233" s="2">
        <f t="shared" si="34"/>
        <v>0</v>
      </c>
      <c r="AN233" s="2">
        <f t="shared" si="35"/>
        <v>0</v>
      </c>
    </row>
    <row r="234" spans="1:40" ht="30" hidden="1" customHeight="1" x14ac:dyDescent="0.25">
      <c r="A234" s="11"/>
      <c r="B234" s="27"/>
      <c r="C234" s="9"/>
      <c r="D234" s="6"/>
      <c r="E234" s="1"/>
      <c r="F234" s="1"/>
      <c r="G234" s="1"/>
      <c r="H234" s="19"/>
      <c r="I234" s="16"/>
      <c r="J234" s="16"/>
      <c r="K234" s="16"/>
      <c r="L234" s="16"/>
      <c r="M234" s="16"/>
      <c r="N234" s="16"/>
      <c r="O234" s="16"/>
      <c r="P234" s="37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2">
        <f t="shared" si="30"/>
        <v>0</v>
      </c>
      <c r="AJ234" s="2">
        <f t="shared" si="31"/>
        <v>0</v>
      </c>
      <c r="AK234" s="2">
        <f t="shared" si="32"/>
        <v>0</v>
      </c>
      <c r="AL234" s="2">
        <f t="shared" si="33"/>
        <v>0</v>
      </c>
      <c r="AM234" s="2">
        <f t="shared" si="34"/>
        <v>0</v>
      </c>
      <c r="AN234" s="2">
        <f t="shared" si="35"/>
        <v>0</v>
      </c>
    </row>
    <row r="235" spans="1:40" ht="30" hidden="1" customHeight="1" x14ac:dyDescent="0.25">
      <c r="A235" s="11"/>
      <c r="B235" s="27"/>
      <c r="C235" s="9"/>
      <c r="D235" s="6"/>
      <c r="E235" s="1"/>
      <c r="F235" s="1"/>
      <c r="G235" s="1"/>
      <c r="H235" s="19"/>
      <c r="I235" s="16"/>
      <c r="J235" s="16"/>
      <c r="K235" s="16"/>
      <c r="L235" s="16"/>
      <c r="M235" s="16"/>
      <c r="N235" s="16"/>
      <c r="O235" s="16"/>
      <c r="P235" s="15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2">
        <f t="shared" si="30"/>
        <v>0</v>
      </c>
      <c r="AJ235" s="2">
        <f t="shared" si="31"/>
        <v>0</v>
      </c>
      <c r="AK235" s="2">
        <f t="shared" si="32"/>
        <v>0</v>
      </c>
      <c r="AL235" s="2">
        <f t="shared" si="33"/>
        <v>0</v>
      </c>
      <c r="AM235" s="2">
        <f t="shared" si="34"/>
        <v>0</v>
      </c>
      <c r="AN235" s="2">
        <f t="shared" si="35"/>
        <v>0</v>
      </c>
    </row>
    <row r="236" spans="1:40" ht="30" hidden="1" customHeight="1" x14ac:dyDescent="0.25">
      <c r="A236" s="11"/>
      <c r="B236" s="27"/>
      <c r="C236" s="9"/>
      <c r="D236" s="6"/>
      <c r="E236" s="1"/>
      <c r="F236" s="1"/>
      <c r="G236" s="1"/>
      <c r="H236" s="19"/>
      <c r="I236" s="16"/>
      <c r="J236" s="16"/>
      <c r="K236" s="16"/>
      <c r="L236" s="16"/>
      <c r="M236" s="16"/>
      <c r="N236" s="16"/>
      <c r="O236" s="16"/>
      <c r="P236" s="37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2">
        <f t="shared" si="30"/>
        <v>0</v>
      </c>
      <c r="AJ236" s="2">
        <f t="shared" si="31"/>
        <v>0</v>
      </c>
      <c r="AK236" s="2">
        <f t="shared" si="32"/>
        <v>0</v>
      </c>
      <c r="AL236" s="2">
        <f t="shared" si="33"/>
        <v>0</v>
      </c>
      <c r="AM236" s="2">
        <f t="shared" si="34"/>
        <v>0</v>
      </c>
      <c r="AN236" s="2">
        <f t="shared" si="35"/>
        <v>0</v>
      </c>
    </row>
    <row r="237" spans="1:40" ht="30" hidden="1" customHeight="1" x14ac:dyDescent="0.25">
      <c r="A237" s="11"/>
      <c r="B237" s="27"/>
      <c r="C237" s="9"/>
      <c r="D237" s="6"/>
      <c r="E237" s="1"/>
      <c r="F237" s="1"/>
      <c r="G237" s="1"/>
      <c r="H237" s="19"/>
      <c r="I237" s="16"/>
      <c r="J237" s="16"/>
      <c r="K237" s="16"/>
      <c r="L237" s="16"/>
      <c r="M237" s="16"/>
      <c r="N237" s="16"/>
      <c r="O237" s="16"/>
      <c r="P237" s="37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2">
        <f t="shared" si="30"/>
        <v>0</v>
      </c>
      <c r="AJ237" s="2">
        <f t="shared" si="31"/>
        <v>0</v>
      </c>
      <c r="AK237" s="2">
        <f t="shared" si="32"/>
        <v>0</v>
      </c>
      <c r="AL237" s="2">
        <f t="shared" si="33"/>
        <v>0</v>
      </c>
      <c r="AM237" s="2">
        <f t="shared" si="34"/>
        <v>0</v>
      </c>
      <c r="AN237" s="2">
        <f t="shared" si="35"/>
        <v>0</v>
      </c>
    </row>
    <row r="238" spans="1:40" ht="30" hidden="1" customHeight="1" x14ac:dyDescent="0.25">
      <c r="A238" s="11"/>
      <c r="B238" s="27"/>
      <c r="C238" s="9"/>
      <c r="D238" s="6"/>
      <c r="E238" s="1"/>
      <c r="F238" s="1"/>
      <c r="G238" s="1"/>
      <c r="H238" s="19"/>
      <c r="I238" s="16"/>
      <c r="J238" s="16"/>
      <c r="K238" s="16"/>
      <c r="L238" s="16"/>
      <c r="M238" s="16"/>
      <c r="N238" s="16"/>
      <c r="O238" s="16"/>
      <c r="P238" s="37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2">
        <f t="shared" si="30"/>
        <v>0</v>
      </c>
      <c r="AJ238" s="2">
        <f t="shared" si="31"/>
        <v>0</v>
      </c>
      <c r="AK238" s="2">
        <f t="shared" si="32"/>
        <v>0</v>
      </c>
      <c r="AL238" s="2">
        <f t="shared" si="33"/>
        <v>0</v>
      </c>
      <c r="AM238" s="2">
        <f t="shared" si="34"/>
        <v>0</v>
      </c>
      <c r="AN238" s="2">
        <f t="shared" si="35"/>
        <v>0</v>
      </c>
    </row>
    <row r="239" spans="1:40" ht="30" hidden="1" customHeight="1" x14ac:dyDescent="0.25">
      <c r="A239" s="11"/>
      <c r="B239" s="27"/>
      <c r="C239" s="9"/>
      <c r="D239" s="6"/>
      <c r="E239" s="1"/>
      <c r="F239" s="1"/>
      <c r="G239" s="1"/>
      <c r="H239" s="19"/>
      <c r="I239" s="16"/>
      <c r="J239" s="16"/>
      <c r="K239" s="16"/>
      <c r="L239" s="16"/>
      <c r="M239" s="16"/>
      <c r="N239" s="16"/>
      <c r="O239" s="16"/>
      <c r="P239" s="37"/>
      <c r="Q239" s="16"/>
      <c r="R239" s="16"/>
      <c r="S239" s="16"/>
      <c r="T239" s="16"/>
      <c r="U239" s="16"/>
      <c r="V239" s="16"/>
      <c r="W239" s="40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2">
        <f t="shared" si="30"/>
        <v>0</v>
      </c>
      <c r="AJ239" s="2">
        <f t="shared" si="31"/>
        <v>0</v>
      </c>
      <c r="AK239" s="2">
        <f t="shared" si="32"/>
        <v>0</v>
      </c>
      <c r="AL239" s="2">
        <f t="shared" si="33"/>
        <v>0</v>
      </c>
      <c r="AM239" s="2">
        <f t="shared" si="34"/>
        <v>0</v>
      </c>
      <c r="AN239" s="2">
        <f t="shared" si="35"/>
        <v>0</v>
      </c>
    </row>
    <row r="240" spans="1:40" ht="30" hidden="1" customHeight="1" x14ac:dyDescent="0.25">
      <c r="A240" s="11"/>
      <c r="B240" s="27"/>
      <c r="C240" s="9"/>
      <c r="D240" s="6"/>
      <c r="E240" s="1"/>
      <c r="F240" s="1"/>
      <c r="G240" s="1"/>
      <c r="H240" s="19"/>
      <c r="I240" s="16"/>
      <c r="J240" s="16"/>
      <c r="K240" s="16"/>
      <c r="L240" s="16"/>
      <c r="M240" s="16"/>
      <c r="N240" s="16"/>
      <c r="O240" s="16"/>
      <c r="P240" s="19"/>
      <c r="Q240" s="16"/>
      <c r="R240" s="16"/>
      <c r="S240" s="16"/>
      <c r="T240" s="16"/>
      <c r="U240" s="16"/>
      <c r="V240" s="16"/>
      <c r="W240" s="40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2">
        <f t="shared" si="30"/>
        <v>0</v>
      </c>
      <c r="AJ240" s="2">
        <f t="shared" si="31"/>
        <v>0</v>
      </c>
      <c r="AK240" s="2">
        <f t="shared" si="32"/>
        <v>0</v>
      </c>
      <c r="AL240" s="2">
        <f t="shared" si="33"/>
        <v>0</v>
      </c>
      <c r="AM240" s="2">
        <f t="shared" si="34"/>
        <v>0</v>
      </c>
      <c r="AN240" s="2">
        <f t="shared" si="35"/>
        <v>0</v>
      </c>
    </row>
    <row r="241" spans="1:40" ht="30" hidden="1" customHeight="1" x14ac:dyDescent="0.25">
      <c r="A241" s="11"/>
      <c r="B241" s="27"/>
      <c r="C241" s="9"/>
      <c r="D241" s="6"/>
      <c r="E241" s="1"/>
      <c r="F241" s="1"/>
      <c r="G241" s="1"/>
      <c r="H241" s="19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40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2">
        <f t="shared" si="30"/>
        <v>0</v>
      </c>
      <c r="AJ241" s="2">
        <f t="shared" si="31"/>
        <v>0</v>
      </c>
      <c r="AK241" s="2">
        <f t="shared" si="32"/>
        <v>0</v>
      </c>
      <c r="AL241" s="2">
        <f t="shared" si="33"/>
        <v>0</v>
      </c>
      <c r="AM241" s="2">
        <f t="shared" si="34"/>
        <v>0</v>
      </c>
      <c r="AN241" s="2">
        <f t="shared" si="35"/>
        <v>0</v>
      </c>
    </row>
    <row r="242" spans="1:40" ht="30" hidden="1" customHeight="1" x14ac:dyDescent="0.25">
      <c r="A242" s="11"/>
      <c r="B242" s="27"/>
      <c r="C242" s="9"/>
      <c r="D242" s="6"/>
      <c r="E242" s="1"/>
      <c r="F242" s="1"/>
      <c r="G242" s="1"/>
      <c r="H242" s="19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40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2">
        <f t="shared" si="30"/>
        <v>0</v>
      </c>
      <c r="AJ242" s="2">
        <f t="shared" si="31"/>
        <v>0</v>
      </c>
      <c r="AK242" s="2">
        <f t="shared" si="32"/>
        <v>0</v>
      </c>
      <c r="AL242" s="2">
        <f t="shared" si="33"/>
        <v>0</v>
      </c>
      <c r="AM242" s="2">
        <f t="shared" si="34"/>
        <v>0</v>
      </c>
      <c r="AN242" s="2">
        <f t="shared" si="35"/>
        <v>0</v>
      </c>
    </row>
    <row r="243" spans="1:40" ht="30" hidden="1" customHeight="1" x14ac:dyDescent="0.25">
      <c r="A243" s="11"/>
      <c r="B243" s="27"/>
      <c r="C243" s="9"/>
      <c r="D243" s="6"/>
      <c r="E243" s="1"/>
      <c r="F243" s="1"/>
      <c r="G243" s="1"/>
      <c r="H243" s="19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40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2">
        <f t="shared" si="30"/>
        <v>0</v>
      </c>
      <c r="AJ243" s="2">
        <f t="shared" si="31"/>
        <v>0</v>
      </c>
      <c r="AK243" s="2">
        <f t="shared" si="32"/>
        <v>0</v>
      </c>
      <c r="AL243" s="2">
        <f t="shared" si="33"/>
        <v>0</v>
      </c>
      <c r="AM243" s="2">
        <f t="shared" si="34"/>
        <v>0</v>
      </c>
      <c r="AN243" s="2">
        <f t="shared" si="35"/>
        <v>0</v>
      </c>
    </row>
    <row r="244" spans="1:40" ht="30" hidden="1" customHeight="1" x14ac:dyDescent="0.25">
      <c r="A244" s="11"/>
      <c r="B244" s="27"/>
      <c r="C244" s="9"/>
      <c r="D244" s="6"/>
      <c r="E244" s="1"/>
      <c r="F244" s="1"/>
      <c r="G244" s="1"/>
      <c r="H244" s="19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16"/>
      <c r="AH244" s="2"/>
      <c r="AI244" s="2">
        <f t="shared" si="30"/>
        <v>0</v>
      </c>
      <c r="AJ244" s="2">
        <f t="shared" si="31"/>
        <v>0</v>
      </c>
      <c r="AK244" s="2">
        <f t="shared" si="32"/>
        <v>0</v>
      </c>
      <c r="AL244" s="2">
        <f t="shared" si="33"/>
        <v>0</v>
      </c>
      <c r="AM244" s="2">
        <f t="shared" si="34"/>
        <v>0</v>
      </c>
      <c r="AN244" s="2">
        <f t="shared" si="35"/>
        <v>0</v>
      </c>
    </row>
    <row r="245" spans="1:40" ht="30" hidden="1" customHeight="1" x14ac:dyDescent="0.25">
      <c r="A245" s="11"/>
      <c r="B245" s="27"/>
      <c r="C245" s="9"/>
      <c r="D245" s="6"/>
      <c r="E245" s="1"/>
      <c r="F245" s="1"/>
      <c r="G245" s="1"/>
      <c r="H245" s="19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16"/>
      <c r="AH245" s="2"/>
      <c r="AI245" s="2">
        <f t="shared" si="30"/>
        <v>0</v>
      </c>
      <c r="AJ245" s="2">
        <f t="shared" si="31"/>
        <v>0</v>
      </c>
      <c r="AK245" s="2">
        <f t="shared" si="32"/>
        <v>0</v>
      </c>
      <c r="AL245" s="2">
        <f t="shared" si="33"/>
        <v>0</v>
      </c>
      <c r="AM245" s="2">
        <f t="shared" si="34"/>
        <v>0</v>
      </c>
      <c r="AN245" s="2">
        <f t="shared" si="35"/>
        <v>0</v>
      </c>
    </row>
    <row r="246" spans="1:40" ht="30" hidden="1" customHeight="1" x14ac:dyDescent="0.25">
      <c r="A246" s="11"/>
      <c r="B246" s="27"/>
      <c r="C246" s="9"/>
      <c r="D246" s="6"/>
      <c r="E246" s="1"/>
      <c r="F246" s="1"/>
      <c r="G246" s="1"/>
      <c r="H246" s="19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16"/>
      <c r="AH246" s="2"/>
      <c r="AI246" s="2">
        <f t="shared" si="30"/>
        <v>0</v>
      </c>
      <c r="AJ246" s="2">
        <f t="shared" si="31"/>
        <v>0</v>
      </c>
      <c r="AK246" s="2">
        <f t="shared" si="32"/>
        <v>0</v>
      </c>
      <c r="AL246" s="2">
        <f t="shared" si="33"/>
        <v>0</v>
      </c>
      <c r="AM246" s="2">
        <f t="shared" si="34"/>
        <v>0</v>
      </c>
      <c r="AN246" s="2">
        <f t="shared" si="35"/>
        <v>0</v>
      </c>
    </row>
    <row r="247" spans="1:40" ht="30" hidden="1" customHeight="1" x14ac:dyDescent="0.25">
      <c r="A247" s="11"/>
      <c r="B247" s="27"/>
      <c r="C247" s="9"/>
      <c r="D247" s="6"/>
      <c r="E247" s="1"/>
      <c r="F247" s="1"/>
      <c r="G247" s="1"/>
      <c r="H247" s="19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16"/>
      <c r="AH247" s="2"/>
      <c r="AI247" s="2">
        <f t="shared" si="30"/>
        <v>0</v>
      </c>
      <c r="AJ247" s="2">
        <f t="shared" si="31"/>
        <v>0</v>
      </c>
      <c r="AK247" s="2">
        <f t="shared" si="32"/>
        <v>0</v>
      </c>
      <c r="AL247" s="2">
        <f t="shared" si="33"/>
        <v>0</v>
      </c>
      <c r="AM247" s="2">
        <f t="shared" si="34"/>
        <v>0</v>
      </c>
      <c r="AN247" s="2">
        <f t="shared" si="35"/>
        <v>0</v>
      </c>
    </row>
    <row r="248" spans="1:40" ht="30" hidden="1" customHeight="1" x14ac:dyDescent="0.25">
      <c r="A248" s="11"/>
      <c r="B248" s="27"/>
      <c r="C248" s="9"/>
      <c r="D248" s="6"/>
      <c r="E248" s="1"/>
      <c r="F248" s="1"/>
      <c r="G248" s="1"/>
      <c r="H248" s="19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16"/>
      <c r="AH248" s="2"/>
      <c r="AI248" s="2">
        <f t="shared" si="30"/>
        <v>0</v>
      </c>
      <c r="AJ248" s="2">
        <f t="shared" si="31"/>
        <v>0</v>
      </c>
      <c r="AK248" s="2">
        <f t="shared" si="32"/>
        <v>0</v>
      </c>
      <c r="AL248" s="2">
        <f t="shared" si="33"/>
        <v>0</v>
      </c>
      <c r="AM248" s="2">
        <f t="shared" si="34"/>
        <v>0</v>
      </c>
      <c r="AN248" s="2">
        <f t="shared" si="35"/>
        <v>0</v>
      </c>
    </row>
    <row r="249" spans="1:40" ht="30" hidden="1" customHeight="1" x14ac:dyDescent="0.25">
      <c r="A249" s="11"/>
      <c r="B249" s="27"/>
      <c r="C249" s="9"/>
      <c r="D249" s="6"/>
      <c r="E249" s="1"/>
      <c r="F249" s="1"/>
      <c r="G249" s="1"/>
      <c r="H249" s="19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16"/>
      <c r="AH249" s="2"/>
      <c r="AI249" s="2">
        <f t="shared" si="30"/>
        <v>0</v>
      </c>
      <c r="AJ249" s="2">
        <f t="shared" si="31"/>
        <v>0</v>
      </c>
      <c r="AK249" s="2">
        <f t="shared" si="32"/>
        <v>0</v>
      </c>
      <c r="AL249" s="2">
        <f t="shared" si="33"/>
        <v>0</v>
      </c>
      <c r="AM249" s="2">
        <f t="shared" si="34"/>
        <v>0</v>
      </c>
      <c r="AN249" s="2">
        <f t="shared" si="35"/>
        <v>0</v>
      </c>
    </row>
    <row r="250" spans="1:40" ht="30" hidden="1" customHeight="1" x14ac:dyDescent="0.25">
      <c r="A250" s="11"/>
      <c r="B250" s="27"/>
      <c r="C250" s="9"/>
      <c r="D250" s="6"/>
      <c r="E250" s="1"/>
      <c r="F250" s="1"/>
      <c r="G250" s="1"/>
      <c r="H250" s="19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16"/>
      <c r="AH250" s="2"/>
      <c r="AI250" s="2">
        <f t="shared" si="30"/>
        <v>0</v>
      </c>
      <c r="AJ250" s="2">
        <f t="shared" si="31"/>
        <v>0</v>
      </c>
      <c r="AK250" s="2">
        <f t="shared" si="32"/>
        <v>0</v>
      </c>
      <c r="AL250" s="2">
        <f t="shared" si="33"/>
        <v>0</v>
      </c>
      <c r="AM250" s="2">
        <f t="shared" si="34"/>
        <v>0</v>
      </c>
      <c r="AN250" s="2">
        <f t="shared" si="35"/>
        <v>0</v>
      </c>
    </row>
    <row r="251" spans="1:40" ht="30" hidden="1" customHeight="1" x14ac:dyDescent="0.25">
      <c r="A251" s="11"/>
      <c r="B251" s="27"/>
      <c r="C251" s="9"/>
      <c r="D251" s="6"/>
      <c r="E251" s="1"/>
      <c r="F251" s="1"/>
      <c r="G251" s="1"/>
      <c r="H251" s="19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16"/>
      <c r="AH251" s="2"/>
      <c r="AI251" s="2">
        <f t="shared" si="30"/>
        <v>0</v>
      </c>
      <c r="AJ251" s="2">
        <f t="shared" si="31"/>
        <v>0</v>
      </c>
      <c r="AK251" s="2">
        <f t="shared" si="32"/>
        <v>0</v>
      </c>
      <c r="AL251" s="2">
        <f t="shared" si="33"/>
        <v>0</v>
      </c>
      <c r="AM251" s="2">
        <f t="shared" si="34"/>
        <v>0</v>
      </c>
      <c r="AN251" s="2">
        <f t="shared" si="35"/>
        <v>0</v>
      </c>
    </row>
    <row r="252" spans="1:40" ht="30" hidden="1" customHeight="1" x14ac:dyDescent="0.25">
      <c r="A252" s="11"/>
      <c r="B252" s="27"/>
      <c r="C252" s="9"/>
      <c r="D252" s="6"/>
      <c r="E252" s="1"/>
      <c r="F252" s="1"/>
      <c r="G252" s="1"/>
      <c r="H252" s="19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16"/>
      <c r="AH252" s="2"/>
      <c r="AI252" s="2">
        <f t="shared" si="30"/>
        <v>0</v>
      </c>
      <c r="AJ252" s="2">
        <f t="shared" si="31"/>
        <v>0</v>
      </c>
      <c r="AK252" s="2">
        <f t="shared" si="32"/>
        <v>0</v>
      </c>
      <c r="AL252" s="2">
        <f t="shared" si="33"/>
        <v>0</v>
      </c>
      <c r="AM252" s="2">
        <f t="shared" si="34"/>
        <v>0</v>
      </c>
      <c r="AN252" s="2">
        <f t="shared" si="35"/>
        <v>0</v>
      </c>
    </row>
    <row r="253" spans="1:40" ht="30" hidden="1" customHeight="1" x14ac:dyDescent="0.25">
      <c r="A253" s="11"/>
      <c r="B253" s="27"/>
      <c r="C253" s="9"/>
      <c r="D253" s="6"/>
      <c r="E253" s="1"/>
      <c r="F253" s="1"/>
      <c r="G253" s="1"/>
      <c r="H253" s="19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16"/>
      <c r="AH253" s="2"/>
      <c r="AI253" s="2">
        <f t="shared" si="30"/>
        <v>0</v>
      </c>
      <c r="AJ253" s="2">
        <f t="shared" si="31"/>
        <v>0</v>
      </c>
      <c r="AK253" s="2">
        <f t="shared" si="32"/>
        <v>0</v>
      </c>
      <c r="AL253" s="2">
        <f t="shared" si="33"/>
        <v>0</v>
      </c>
      <c r="AM253" s="2">
        <f t="shared" si="34"/>
        <v>0</v>
      </c>
      <c r="AN253" s="2">
        <f t="shared" si="35"/>
        <v>0</v>
      </c>
    </row>
    <row r="254" spans="1:40" ht="30" hidden="1" customHeight="1" x14ac:dyDescent="0.25">
      <c r="A254" s="11"/>
      <c r="B254" s="27"/>
      <c r="C254" s="9"/>
      <c r="D254" s="6"/>
      <c r="E254" s="1"/>
      <c r="F254" s="1"/>
      <c r="G254" s="1"/>
      <c r="H254" s="19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16"/>
      <c r="AH254" s="2"/>
      <c r="AI254" s="2">
        <f t="shared" si="30"/>
        <v>0</v>
      </c>
      <c r="AJ254" s="2">
        <f t="shared" si="31"/>
        <v>0</v>
      </c>
      <c r="AK254" s="2">
        <f t="shared" si="32"/>
        <v>0</v>
      </c>
      <c r="AL254" s="2">
        <f t="shared" si="33"/>
        <v>0</v>
      </c>
      <c r="AM254" s="2">
        <f t="shared" si="34"/>
        <v>0</v>
      </c>
      <c r="AN254" s="2">
        <f t="shared" si="35"/>
        <v>0</v>
      </c>
    </row>
    <row r="255" spans="1:40" ht="30" hidden="1" customHeight="1" x14ac:dyDescent="0.25">
      <c r="A255" s="11"/>
      <c r="B255" s="27"/>
      <c r="C255" s="9"/>
      <c r="D255" s="6"/>
      <c r="E255" s="1"/>
      <c r="F255" s="1"/>
      <c r="G255" s="1"/>
      <c r="H255" s="19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16"/>
      <c r="AH255" s="2"/>
      <c r="AI255" s="2">
        <f t="shared" si="30"/>
        <v>0</v>
      </c>
      <c r="AJ255" s="2">
        <f t="shared" si="31"/>
        <v>0</v>
      </c>
      <c r="AK255" s="2">
        <f t="shared" si="32"/>
        <v>0</v>
      </c>
      <c r="AL255" s="2">
        <f t="shared" si="33"/>
        <v>0</v>
      </c>
      <c r="AM255" s="2">
        <f t="shared" si="34"/>
        <v>0</v>
      </c>
      <c r="AN255" s="2">
        <f t="shared" si="35"/>
        <v>0</v>
      </c>
    </row>
    <row r="256" spans="1:40" ht="30" hidden="1" customHeight="1" x14ac:dyDescent="0.25">
      <c r="A256" s="11"/>
      <c r="B256" s="27"/>
      <c r="C256" s="9"/>
      <c r="D256" s="6"/>
      <c r="E256" s="1"/>
      <c r="F256" s="1"/>
      <c r="G256" s="1"/>
      <c r="H256" s="19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16"/>
      <c r="AH256" s="2"/>
      <c r="AI256" s="2">
        <f t="shared" si="30"/>
        <v>0</v>
      </c>
      <c r="AJ256" s="2">
        <f t="shared" si="31"/>
        <v>0</v>
      </c>
      <c r="AK256" s="2">
        <f t="shared" si="32"/>
        <v>0</v>
      </c>
      <c r="AL256" s="2">
        <f t="shared" si="33"/>
        <v>0</v>
      </c>
      <c r="AM256" s="2">
        <f t="shared" si="34"/>
        <v>0</v>
      </c>
      <c r="AN256" s="2">
        <f t="shared" si="35"/>
        <v>0</v>
      </c>
    </row>
    <row r="257" spans="1:40" ht="30" hidden="1" customHeight="1" x14ac:dyDescent="0.25">
      <c r="A257" s="11"/>
      <c r="B257" s="27"/>
      <c r="C257" s="9"/>
      <c r="D257" s="6"/>
      <c r="E257" s="1"/>
      <c r="F257" s="1"/>
      <c r="G257" s="1"/>
      <c r="H257" s="19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16"/>
      <c r="AH257" s="2"/>
      <c r="AI257" s="2">
        <f t="shared" si="30"/>
        <v>0</v>
      </c>
      <c r="AJ257" s="2">
        <f t="shared" si="31"/>
        <v>0</v>
      </c>
      <c r="AK257" s="2">
        <f t="shared" si="32"/>
        <v>0</v>
      </c>
      <c r="AL257" s="2">
        <f t="shared" si="33"/>
        <v>0</v>
      </c>
      <c r="AM257" s="2">
        <f t="shared" si="34"/>
        <v>0</v>
      </c>
      <c r="AN257" s="2">
        <f t="shared" si="35"/>
        <v>0</v>
      </c>
    </row>
    <row r="258" spans="1:40" ht="30" hidden="1" customHeight="1" x14ac:dyDescent="0.25">
      <c r="A258" s="11"/>
      <c r="B258" s="27"/>
      <c r="C258" s="9"/>
      <c r="D258" s="6"/>
      <c r="E258" s="1"/>
      <c r="F258" s="1"/>
      <c r="G258" s="1"/>
      <c r="H258" s="19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16"/>
      <c r="AH258" s="2"/>
      <c r="AI258" s="2">
        <f t="shared" si="30"/>
        <v>0</v>
      </c>
      <c r="AJ258" s="2">
        <f t="shared" si="31"/>
        <v>0</v>
      </c>
      <c r="AK258" s="2">
        <f t="shared" si="32"/>
        <v>0</v>
      </c>
      <c r="AL258" s="2">
        <f t="shared" si="33"/>
        <v>0</v>
      </c>
      <c r="AM258" s="2">
        <f t="shared" si="34"/>
        <v>0</v>
      </c>
      <c r="AN258" s="2">
        <f t="shared" si="35"/>
        <v>0</v>
      </c>
    </row>
    <row r="259" spans="1:40" ht="30" hidden="1" customHeight="1" x14ac:dyDescent="0.25">
      <c r="A259" s="11"/>
      <c r="B259" s="27"/>
      <c r="C259" s="9"/>
      <c r="D259" s="6"/>
      <c r="E259" s="1"/>
      <c r="F259" s="1"/>
      <c r="G259" s="1"/>
      <c r="H259" s="19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16"/>
      <c r="AH259" s="2"/>
      <c r="AI259" s="2">
        <f t="shared" si="30"/>
        <v>0</v>
      </c>
      <c r="AJ259" s="2">
        <f t="shared" si="31"/>
        <v>0</v>
      </c>
      <c r="AK259" s="2">
        <f t="shared" si="32"/>
        <v>0</v>
      </c>
      <c r="AL259" s="2">
        <f t="shared" si="33"/>
        <v>0</v>
      </c>
      <c r="AM259" s="2">
        <f t="shared" si="34"/>
        <v>0</v>
      </c>
      <c r="AN259" s="2">
        <f t="shared" si="35"/>
        <v>0</v>
      </c>
    </row>
    <row r="260" spans="1:40" ht="30" hidden="1" customHeight="1" x14ac:dyDescent="0.25">
      <c r="A260" s="11"/>
      <c r="B260" s="27"/>
      <c r="C260" s="9"/>
      <c r="D260" s="6"/>
      <c r="E260" s="1"/>
      <c r="F260" s="1"/>
      <c r="G260" s="1"/>
      <c r="H260" s="19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16"/>
      <c r="AH260" s="2"/>
      <c r="AI260" s="2">
        <f t="shared" si="30"/>
        <v>0</v>
      </c>
      <c r="AJ260" s="2">
        <f t="shared" si="31"/>
        <v>0</v>
      </c>
      <c r="AK260" s="2">
        <f t="shared" si="32"/>
        <v>0</v>
      </c>
      <c r="AL260" s="2">
        <f t="shared" si="33"/>
        <v>0</v>
      </c>
      <c r="AM260" s="2">
        <f t="shared" si="34"/>
        <v>0</v>
      </c>
      <c r="AN260" s="2">
        <f t="shared" si="35"/>
        <v>0</v>
      </c>
    </row>
    <row r="261" spans="1:40" ht="30" hidden="1" customHeight="1" x14ac:dyDescent="0.25">
      <c r="A261" s="11"/>
      <c r="B261" s="27"/>
      <c r="C261" s="9"/>
      <c r="D261" s="6"/>
      <c r="E261" s="1"/>
      <c r="F261" s="1"/>
      <c r="G261" s="1"/>
      <c r="H261" s="19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16"/>
      <c r="AH261" s="2"/>
      <c r="AI261" s="2">
        <f t="shared" si="30"/>
        <v>0</v>
      </c>
      <c r="AJ261" s="2">
        <f t="shared" si="31"/>
        <v>0</v>
      </c>
      <c r="AK261" s="2">
        <f t="shared" si="32"/>
        <v>0</v>
      </c>
      <c r="AL261" s="2">
        <f t="shared" si="33"/>
        <v>0</v>
      </c>
      <c r="AM261" s="2">
        <f t="shared" si="34"/>
        <v>0</v>
      </c>
      <c r="AN261" s="2">
        <f t="shared" si="35"/>
        <v>0</v>
      </c>
    </row>
    <row r="262" spans="1:40" ht="30" hidden="1" customHeight="1" x14ac:dyDescent="0.25">
      <c r="A262" s="11"/>
      <c r="B262" s="27"/>
      <c r="C262" s="9"/>
      <c r="D262" s="6"/>
      <c r="E262" s="1"/>
      <c r="F262" s="1"/>
      <c r="G262" s="1"/>
      <c r="H262" s="19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16"/>
      <c r="AH262" s="2"/>
      <c r="AI262" s="2">
        <f t="shared" si="30"/>
        <v>0</v>
      </c>
      <c r="AJ262" s="2">
        <f t="shared" si="31"/>
        <v>0</v>
      </c>
      <c r="AK262" s="2">
        <f t="shared" si="32"/>
        <v>0</v>
      </c>
      <c r="AL262" s="2">
        <f t="shared" si="33"/>
        <v>0</v>
      </c>
      <c r="AM262" s="2">
        <f t="shared" si="34"/>
        <v>0</v>
      </c>
      <c r="AN262" s="2">
        <f t="shared" si="35"/>
        <v>0</v>
      </c>
    </row>
    <row r="263" spans="1:40" ht="30" hidden="1" customHeight="1" x14ac:dyDescent="0.25">
      <c r="A263" s="11"/>
      <c r="B263" s="27"/>
      <c r="C263" s="9"/>
      <c r="D263" s="6"/>
      <c r="E263" s="1"/>
      <c r="F263" s="1"/>
      <c r="G263" s="1"/>
      <c r="H263" s="19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16"/>
      <c r="AH263" s="2"/>
      <c r="AI263" s="2">
        <f t="shared" si="30"/>
        <v>0</v>
      </c>
      <c r="AJ263" s="2">
        <f t="shared" si="31"/>
        <v>0</v>
      </c>
      <c r="AK263" s="2">
        <f t="shared" si="32"/>
        <v>0</v>
      </c>
      <c r="AL263" s="2">
        <f t="shared" si="33"/>
        <v>0</v>
      </c>
      <c r="AM263" s="2">
        <f t="shared" si="34"/>
        <v>0</v>
      </c>
      <c r="AN263" s="2">
        <f t="shared" si="35"/>
        <v>0</v>
      </c>
    </row>
    <row r="264" spans="1:40" ht="30" hidden="1" customHeight="1" x14ac:dyDescent="0.25">
      <c r="A264" s="11"/>
      <c r="B264" s="27"/>
      <c r="C264" s="9"/>
      <c r="D264" s="6"/>
      <c r="E264" s="1"/>
      <c r="F264" s="1"/>
      <c r="G264" s="1"/>
      <c r="H264" s="19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16"/>
      <c r="AH264" s="2"/>
      <c r="AI264" s="2">
        <f t="shared" ref="AI264:AI327" si="36">H264-AG264+AH264</f>
        <v>0</v>
      </c>
      <c r="AJ264" s="2">
        <f t="shared" ref="AJ264:AJ327" si="37">SUM(I264:T264)</f>
        <v>0</v>
      </c>
      <c r="AK264" s="2">
        <f t="shared" ref="AK264:AK327" si="38">SUM(U264:AF264)</f>
        <v>0</v>
      </c>
      <c r="AL264" s="2">
        <f t="shared" ref="AL264:AL305" si="39">(AJ264-AK264)+(AI264-AJ264)</f>
        <v>0</v>
      </c>
      <c r="AM264" s="2">
        <f t="shared" ref="AM264:AM305" si="40">AJ264-AK264</f>
        <v>0</v>
      </c>
      <c r="AN264" s="2">
        <f t="shared" ref="AN264:AN305" si="41">AI264-AJ264</f>
        <v>0</v>
      </c>
    </row>
    <row r="265" spans="1:40" ht="30" hidden="1" customHeight="1" x14ac:dyDescent="0.25">
      <c r="A265" s="11"/>
      <c r="B265" s="27"/>
      <c r="C265" s="9"/>
      <c r="D265" s="6"/>
      <c r="E265" s="1"/>
      <c r="F265" s="1"/>
      <c r="G265" s="1"/>
      <c r="H265" s="19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16"/>
      <c r="AH265" s="2"/>
      <c r="AI265" s="2">
        <f t="shared" si="36"/>
        <v>0</v>
      </c>
      <c r="AJ265" s="2">
        <f t="shared" si="37"/>
        <v>0</v>
      </c>
      <c r="AK265" s="2">
        <f t="shared" si="38"/>
        <v>0</v>
      </c>
      <c r="AL265" s="2">
        <f t="shared" si="39"/>
        <v>0</v>
      </c>
      <c r="AM265" s="2">
        <f t="shared" si="40"/>
        <v>0</v>
      </c>
      <c r="AN265" s="2">
        <f t="shared" si="41"/>
        <v>0</v>
      </c>
    </row>
    <row r="266" spans="1:40" ht="30" hidden="1" customHeight="1" x14ac:dyDescent="0.25">
      <c r="A266" s="11"/>
      <c r="B266" s="27"/>
      <c r="C266" s="9"/>
      <c r="D266" s="6"/>
      <c r="E266" s="1"/>
      <c r="F266" s="1"/>
      <c r="G266" s="1"/>
      <c r="H266" s="19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16"/>
      <c r="AH266" s="2"/>
      <c r="AI266" s="2">
        <f t="shared" si="36"/>
        <v>0</v>
      </c>
      <c r="AJ266" s="2">
        <f t="shared" si="37"/>
        <v>0</v>
      </c>
      <c r="AK266" s="2">
        <f t="shared" si="38"/>
        <v>0</v>
      </c>
      <c r="AL266" s="2">
        <f t="shared" si="39"/>
        <v>0</v>
      </c>
      <c r="AM266" s="2">
        <f t="shared" si="40"/>
        <v>0</v>
      </c>
      <c r="AN266" s="2">
        <f t="shared" si="41"/>
        <v>0</v>
      </c>
    </row>
    <row r="267" spans="1:40" ht="30" hidden="1" customHeight="1" x14ac:dyDescent="0.25">
      <c r="A267" s="11"/>
      <c r="B267" s="27"/>
      <c r="C267" s="9"/>
      <c r="D267" s="6"/>
      <c r="E267" s="1"/>
      <c r="F267" s="1"/>
      <c r="G267" s="1"/>
      <c r="H267" s="19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16"/>
      <c r="AH267" s="2"/>
      <c r="AI267" s="2">
        <f t="shared" si="36"/>
        <v>0</v>
      </c>
      <c r="AJ267" s="2">
        <f t="shared" si="37"/>
        <v>0</v>
      </c>
      <c r="AK267" s="2">
        <f t="shared" si="38"/>
        <v>0</v>
      </c>
      <c r="AL267" s="2">
        <f t="shared" si="39"/>
        <v>0</v>
      </c>
      <c r="AM267" s="2">
        <f t="shared" si="40"/>
        <v>0</v>
      </c>
      <c r="AN267" s="2">
        <f t="shared" si="41"/>
        <v>0</v>
      </c>
    </row>
    <row r="268" spans="1:40" ht="30" hidden="1" customHeight="1" x14ac:dyDescent="0.25">
      <c r="A268" s="11"/>
      <c r="B268" s="27"/>
      <c r="C268" s="9"/>
      <c r="D268" s="6"/>
      <c r="E268" s="1"/>
      <c r="F268" s="1"/>
      <c r="G268" s="1"/>
      <c r="H268" s="19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16"/>
      <c r="AH268" s="2"/>
      <c r="AI268" s="2">
        <f t="shared" si="36"/>
        <v>0</v>
      </c>
      <c r="AJ268" s="2">
        <f t="shared" si="37"/>
        <v>0</v>
      </c>
      <c r="AK268" s="2">
        <f t="shared" si="38"/>
        <v>0</v>
      </c>
      <c r="AL268" s="2">
        <f t="shared" si="39"/>
        <v>0</v>
      </c>
      <c r="AM268" s="2">
        <f t="shared" si="40"/>
        <v>0</v>
      </c>
      <c r="AN268" s="2">
        <f t="shared" si="41"/>
        <v>0</v>
      </c>
    </row>
    <row r="269" spans="1:40" ht="30" hidden="1" customHeight="1" x14ac:dyDescent="0.25">
      <c r="A269" s="11"/>
      <c r="B269" s="27"/>
      <c r="C269" s="9"/>
      <c r="D269" s="6"/>
      <c r="E269" s="1"/>
      <c r="F269" s="1"/>
      <c r="G269" s="1"/>
      <c r="H269" s="19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16"/>
      <c r="AH269" s="2"/>
      <c r="AI269" s="2">
        <f t="shared" si="36"/>
        <v>0</v>
      </c>
      <c r="AJ269" s="2">
        <f t="shared" si="37"/>
        <v>0</v>
      </c>
      <c r="AK269" s="2">
        <f t="shared" si="38"/>
        <v>0</v>
      </c>
      <c r="AL269" s="2">
        <f t="shared" si="39"/>
        <v>0</v>
      </c>
      <c r="AM269" s="2">
        <f t="shared" si="40"/>
        <v>0</v>
      </c>
      <c r="AN269" s="2">
        <f t="shared" si="41"/>
        <v>0</v>
      </c>
    </row>
    <row r="270" spans="1:40" ht="30" hidden="1" customHeight="1" x14ac:dyDescent="0.25">
      <c r="A270" s="11"/>
      <c r="B270" s="27"/>
      <c r="C270" s="9"/>
      <c r="D270" s="6"/>
      <c r="E270" s="1"/>
      <c r="F270" s="1"/>
      <c r="G270" s="1"/>
      <c r="H270" s="19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16"/>
      <c r="AH270" s="2"/>
      <c r="AI270" s="2">
        <f t="shared" si="36"/>
        <v>0</v>
      </c>
      <c r="AJ270" s="2">
        <f t="shared" si="37"/>
        <v>0</v>
      </c>
      <c r="AK270" s="2">
        <f t="shared" si="38"/>
        <v>0</v>
      </c>
      <c r="AL270" s="2">
        <f t="shared" si="39"/>
        <v>0</v>
      </c>
      <c r="AM270" s="2">
        <f t="shared" si="40"/>
        <v>0</v>
      </c>
      <c r="AN270" s="2">
        <f t="shared" si="41"/>
        <v>0</v>
      </c>
    </row>
    <row r="271" spans="1:40" ht="30" hidden="1" customHeight="1" x14ac:dyDescent="0.25">
      <c r="A271" s="11"/>
      <c r="B271" s="27"/>
      <c r="C271" s="9"/>
      <c r="D271" s="6"/>
      <c r="E271" s="1"/>
      <c r="F271" s="1"/>
      <c r="G271" s="1"/>
      <c r="H271" s="19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16"/>
      <c r="AH271" s="2"/>
      <c r="AI271" s="2">
        <f t="shared" si="36"/>
        <v>0</v>
      </c>
      <c r="AJ271" s="2">
        <f t="shared" si="37"/>
        <v>0</v>
      </c>
      <c r="AK271" s="2">
        <f t="shared" si="38"/>
        <v>0</v>
      </c>
      <c r="AL271" s="2">
        <f t="shared" si="39"/>
        <v>0</v>
      </c>
      <c r="AM271" s="2">
        <f t="shared" si="40"/>
        <v>0</v>
      </c>
      <c r="AN271" s="2">
        <f t="shared" si="41"/>
        <v>0</v>
      </c>
    </row>
    <row r="272" spans="1:40" ht="30" hidden="1" customHeight="1" x14ac:dyDescent="0.25">
      <c r="A272" s="11"/>
      <c r="B272" s="27"/>
      <c r="C272" s="9"/>
      <c r="D272" s="6"/>
      <c r="E272" s="1"/>
      <c r="F272" s="1"/>
      <c r="G272" s="1"/>
      <c r="H272" s="19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16"/>
      <c r="AH272" s="2"/>
      <c r="AI272" s="2">
        <f t="shared" si="36"/>
        <v>0</v>
      </c>
      <c r="AJ272" s="2">
        <f t="shared" si="37"/>
        <v>0</v>
      </c>
      <c r="AK272" s="2">
        <f t="shared" si="38"/>
        <v>0</v>
      </c>
      <c r="AL272" s="2">
        <f t="shared" si="39"/>
        <v>0</v>
      </c>
      <c r="AM272" s="2">
        <f t="shared" si="40"/>
        <v>0</v>
      </c>
      <c r="AN272" s="2">
        <f t="shared" si="41"/>
        <v>0</v>
      </c>
    </row>
    <row r="273" spans="1:40" ht="30" hidden="1" customHeight="1" x14ac:dyDescent="0.25">
      <c r="A273" s="11"/>
      <c r="B273" s="27"/>
      <c r="C273" s="9"/>
      <c r="D273" s="6"/>
      <c r="E273" s="1"/>
      <c r="F273" s="1"/>
      <c r="G273" s="1"/>
      <c r="H273" s="19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16"/>
      <c r="AH273" s="2"/>
      <c r="AI273" s="2">
        <f t="shared" si="36"/>
        <v>0</v>
      </c>
      <c r="AJ273" s="2">
        <f t="shared" si="37"/>
        <v>0</v>
      </c>
      <c r="AK273" s="2">
        <f t="shared" si="38"/>
        <v>0</v>
      </c>
      <c r="AL273" s="2">
        <f t="shared" si="39"/>
        <v>0</v>
      </c>
      <c r="AM273" s="2">
        <f t="shared" si="40"/>
        <v>0</v>
      </c>
      <c r="AN273" s="2">
        <f t="shared" si="41"/>
        <v>0</v>
      </c>
    </row>
    <row r="274" spans="1:40" ht="30" hidden="1" customHeight="1" x14ac:dyDescent="0.25">
      <c r="A274" s="11"/>
      <c r="B274" s="27"/>
      <c r="C274" s="9"/>
      <c r="D274" s="6"/>
      <c r="E274" s="1"/>
      <c r="F274" s="1"/>
      <c r="G274" s="1"/>
      <c r="H274" s="19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16"/>
      <c r="AH274" s="2"/>
      <c r="AI274" s="2">
        <f t="shared" si="36"/>
        <v>0</v>
      </c>
      <c r="AJ274" s="2">
        <f t="shared" si="37"/>
        <v>0</v>
      </c>
      <c r="AK274" s="2">
        <f t="shared" si="38"/>
        <v>0</v>
      </c>
      <c r="AL274" s="2">
        <f t="shared" si="39"/>
        <v>0</v>
      </c>
      <c r="AM274" s="2">
        <f t="shared" si="40"/>
        <v>0</v>
      </c>
      <c r="AN274" s="2">
        <f t="shared" si="41"/>
        <v>0</v>
      </c>
    </row>
    <row r="275" spans="1:40" ht="30" hidden="1" customHeight="1" x14ac:dyDescent="0.25">
      <c r="A275" s="11"/>
      <c r="B275" s="27"/>
      <c r="C275" s="9"/>
      <c r="D275" s="6"/>
      <c r="E275" s="1"/>
      <c r="F275" s="1"/>
      <c r="G275" s="1"/>
      <c r="H275" s="19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16"/>
      <c r="AH275" s="2"/>
      <c r="AI275" s="2">
        <f t="shared" si="36"/>
        <v>0</v>
      </c>
      <c r="AJ275" s="2">
        <f t="shared" si="37"/>
        <v>0</v>
      </c>
      <c r="AK275" s="2">
        <f t="shared" si="38"/>
        <v>0</v>
      </c>
      <c r="AL275" s="2">
        <f t="shared" si="39"/>
        <v>0</v>
      </c>
      <c r="AM275" s="2">
        <f t="shared" si="40"/>
        <v>0</v>
      </c>
      <c r="AN275" s="2">
        <f t="shared" si="41"/>
        <v>0</v>
      </c>
    </row>
    <row r="276" spans="1:40" ht="30" hidden="1" customHeight="1" x14ac:dyDescent="0.25">
      <c r="A276" s="11"/>
      <c r="B276" s="27"/>
      <c r="C276" s="9"/>
      <c r="D276" s="6"/>
      <c r="E276" s="1"/>
      <c r="F276" s="1"/>
      <c r="G276" s="1"/>
      <c r="H276" s="19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16"/>
      <c r="AH276" s="2"/>
      <c r="AI276" s="2">
        <f t="shared" si="36"/>
        <v>0</v>
      </c>
      <c r="AJ276" s="2">
        <f t="shared" si="37"/>
        <v>0</v>
      </c>
      <c r="AK276" s="2">
        <f t="shared" si="38"/>
        <v>0</v>
      </c>
      <c r="AL276" s="2">
        <f t="shared" si="39"/>
        <v>0</v>
      </c>
      <c r="AM276" s="2">
        <f t="shared" si="40"/>
        <v>0</v>
      </c>
      <c r="AN276" s="2">
        <f t="shared" si="41"/>
        <v>0</v>
      </c>
    </row>
    <row r="277" spans="1:40" ht="30" hidden="1" customHeight="1" x14ac:dyDescent="0.25">
      <c r="A277" s="11"/>
      <c r="B277" s="27"/>
      <c r="C277" s="9"/>
      <c r="D277" s="6"/>
      <c r="E277" s="1"/>
      <c r="F277" s="1"/>
      <c r="G277" s="1"/>
      <c r="H277" s="19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16"/>
      <c r="AH277" s="2"/>
      <c r="AI277" s="2">
        <f t="shared" si="36"/>
        <v>0</v>
      </c>
      <c r="AJ277" s="2">
        <f t="shared" si="37"/>
        <v>0</v>
      </c>
      <c r="AK277" s="2">
        <f t="shared" si="38"/>
        <v>0</v>
      </c>
      <c r="AL277" s="2">
        <f t="shared" si="39"/>
        <v>0</v>
      </c>
      <c r="AM277" s="2">
        <f t="shared" si="40"/>
        <v>0</v>
      </c>
      <c r="AN277" s="2">
        <f t="shared" si="41"/>
        <v>0</v>
      </c>
    </row>
    <row r="278" spans="1:40" ht="30" hidden="1" customHeight="1" x14ac:dyDescent="0.25">
      <c r="A278" s="11"/>
      <c r="B278" s="27"/>
      <c r="C278" s="9"/>
      <c r="D278" s="6"/>
      <c r="E278" s="1"/>
      <c r="F278" s="1"/>
      <c r="G278" s="1"/>
      <c r="H278" s="19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16"/>
      <c r="AH278" s="2"/>
      <c r="AI278" s="2">
        <f t="shared" si="36"/>
        <v>0</v>
      </c>
      <c r="AJ278" s="2">
        <f t="shared" si="37"/>
        <v>0</v>
      </c>
      <c r="AK278" s="2">
        <f t="shared" si="38"/>
        <v>0</v>
      </c>
      <c r="AL278" s="2">
        <f t="shared" si="39"/>
        <v>0</v>
      </c>
      <c r="AM278" s="2">
        <f t="shared" si="40"/>
        <v>0</v>
      </c>
      <c r="AN278" s="2">
        <f t="shared" si="41"/>
        <v>0</v>
      </c>
    </row>
    <row r="279" spans="1:40" ht="30" hidden="1" customHeight="1" x14ac:dyDescent="0.25">
      <c r="A279" s="11"/>
      <c r="B279" s="27"/>
      <c r="C279" s="9"/>
      <c r="D279" s="6"/>
      <c r="E279" s="1"/>
      <c r="F279" s="1"/>
      <c r="G279" s="1"/>
      <c r="H279" s="19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16"/>
      <c r="AH279" s="2"/>
      <c r="AI279" s="2">
        <f t="shared" si="36"/>
        <v>0</v>
      </c>
      <c r="AJ279" s="2">
        <f t="shared" si="37"/>
        <v>0</v>
      </c>
      <c r="AK279" s="2">
        <f t="shared" si="38"/>
        <v>0</v>
      </c>
      <c r="AL279" s="2">
        <f t="shared" si="39"/>
        <v>0</v>
      </c>
      <c r="AM279" s="2">
        <f t="shared" si="40"/>
        <v>0</v>
      </c>
      <c r="AN279" s="2">
        <f t="shared" si="41"/>
        <v>0</v>
      </c>
    </row>
    <row r="280" spans="1:40" ht="30" hidden="1" customHeight="1" x14ac:dyDescent="0.25">
      <c r="A280" s="11"/>
      <c r="B280" s="27"/>
      <c r="C280" s="9"/>
      <c r="D280" s="6"/>
      <c r="E280" s="1"/>
      <c r="F280" s="1"/>
      <c r="G280" s="1"/>
      <c r="H280" s="19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16"/>
      <c r="AH280" s="2"/>
      <c r="AI280" s="2">
        <f t="shared" si="36"/>
        <v>0</v>
      </c>
      <c r="AJ280" s="2">
        <f t="shared" si="37"/>
        <v>0</v>
      </c>
      <c r="AK280" s="2">
        <f t="shared" si="38"/>
        <v>0</v>
      </c>
      <c r="AL280" s="2">
        <f t="shared" si="39"/>
        <v>0</v>
      </c>
      <c r="AM280" s="2">
        <f t="shared" si="40"/>
        <v>0</v>
      </c>
      <c r="AN280" s="2">
        <f t="shared" si="41"/>
        <v>0</v>
      </c>
    </row>
    <row r="281" spans="1:40" ht="30" hidden="1" customHeight="1" x14ac:dyDescent="0.25">
      <c r="A281" s="11"/>
      <c r="B281" s="27"/>
      <c r="C281" s="9"/>
      <c r="D281" s="6"/>
      <c r="E281" s="1"/>
      <c r="F281" s="1"/>
      <c r="G281" s="1"/>
      <c r="H281" s="19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16"/>
      <c r="AH281" s="2"/>
      <c r="AI281" s="2">
        <f t="shared" si="36"/>
        <v>0</v>
      </c>
      <c r="AJ281" s="2">
        <f t="shared" si="37"/>
        <v>0</v>
      </c>
      <c r="AK281" s="2">
        <f t="shared" si="38"/>
        <v>0</v>
      </c>
      <c r="AL281" s="2">
        <f t="shared" si="39"/>
        <v>0</v>
      </c>
      <c r="AM281" s="2">
        <f t="shared" si="40"/>
        <v>0</v>
      </c>
      <c r="AN281" s="2">
        <f t="shared" si="41"/>
        <v>0</v>
      </c>
    </row>
    <row r="282" spans="1:40" ht="30" hidden="1" customHeight="1" x14ac:dyDescent="0.25">
      <c r="A282" s="11"/>
      <c r="B282" s="27"/>
      <c r="C282" s="9"/>
      <c r="D282" s="6"/>
      <c r="E282" s="1"/>
      <c r="F282" s="1"/>
      <c r="G282" s="1"/>
      <c r="H282" s="19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16"/>
      <c r="AH282" s="2"/>
      <c r="AI282" s="2">
        <f t="shared" si="36"/>
        <v>0</v>
      </c>
      <c r="AJ282" s="2">
        <f t="shared" si="37"/>
        <v>0</v>
      </c>
      <c r="AK282" s="2">
        <f t="shared" si="38"/>
        <v>0</v>
      </c>
      <c r="AL282" s="2">
        <f t="shared" si="39"/>
        <v>0</v>
      </c>
      <c r="AM282" s="2">
        <f t="shared" si="40"/>
        <v>0</v>
      </c>
      <c r="AN282" s="2">
        <f t="shared" si="41"/>
        <v>0</v>
      </c>
    </row>
    <row r="283" spans="1:40" ht="30" hidden="1" customHeight="1" x14ac:dyDescent="0.25">
      <c r="A283" s="11"/>
      <c r="B283" s="27"/>
      <c r="C283" s="9"/>
      <c r="D283" s="6"/>
      <c r="E283" s="1"/>
      <c r="F283" s="1"/>
      <c r="G283" s="1"/>
      <c r="H283" s="19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16"/>
      <c r="AH283" s="2"/>
      <c r="AI283" s="2">
        <f t="shared" si="36"/>
        <v>0</v>
      </c>
      <c r="AJ283" s="2">
        <f t="shared" si="37"/>
        <v>0</v>
      </c>
      <c r="AK283" s="2">
        <f t="shared" si="38"/>
        <v>0</v>
      </c>
      <c r="AL283" s="2">
        <f t="shared" si="39"/>
        <v>0</v>
      </c>
      <c r="AM283" s="2">
        <f t="shared" si="40"/>
        <v>0</v>
      </c>
      <c r="AN283" s="2">
        <f t="shared" si="41"/>
        <v>0</v>
      </c>
    </row>
    <row r="284" spans="1:40" ht="30" hidden="1" customHeight="1" x14ac:dyDescent="0.25">
      <c r="A284" s="11"/>
      <c r="B284" s="27"/>
      <c r="C284" s="9"/>
      <c r="D284" s="6"/>
      <c r="E284" s="1"/>
      <c r="F284" s="1"/>
      <c r="G284" s="1"/>
      <c r="H284" s="19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16"/>
      <c r="AH284" s="2"/>
      <c r="AI284" s="2">
        <f t="shared" si="36"/>
        <v>0</v>
      </c>
      <c r="AJ284" s="2">
        <f t="shared" si="37"/>
        <v>0</v>
      </c>
      <c r="AK284" s="2">
        <f t="shared" si="38"/>
        <v>0</v>
      </c>
      <c r="AL284" s="2">
        <f t="shared" si="39"/>
        <v>0</v>
      </c>
      <c r="AM284" s="2">
        <f t="shared" si="40"/>
        <v>0</v>
      </c>
      <c r="AN284" s="2">
        <f t="shared" si="41"/>
        <v>0</v>
      </c>
    </row>
    <row r="285" spans="1:40" ht="30" hidden="1" customHeight="1" x14ac:dyDescent="0.25">
      <c r="A285" s="11"/>
      <c r="B285" s="27"/>
      <c r="C285" s="9"/>
      <c r="D285" s="6"/>
      <c r="E285" s="1"/>
      <c r="F285" s="1"/>
      <c r="G285" s="1"/>
      <c r="H285" s="19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16"/>
      <c r="AH285" s="2"/>
      <c r="AI285" s="2">
        <f t="shared" si="36"/>
        <v>0</v>
      </c>
      <c r="AJ285" s="2">
        <f t="shared" si="37"/>
        <v>0</v>
      </c>
      <c r="AK285" s="2">
        <f t="shared" si="38"/>
        <v>0</v>
      </c>
      <c r="AL285" s="2">
        <f t="shared" si="39"/>
        <v>0</v>
      </c>
      <c r="AM285" s="2">
        <f t="shared" si="40"/>
        <v>0</v>
      </c>
      <c r="AN285" s="2">
        <f t="shared" si="41"/>
        <v>0</v>
      </c>
    </row>
    <row r="286" spans="1:40" ht="30" hidden="1" customHeight="1" x14ac:dyDescent="0.25">
      <c r="A286" s="11"/>
      <c r="B286" s="27"/>
      <c r="C286" s="9"/>
      <c r="D286" s="6"/>
      <c r="E286" s="1"/>
      <c r="F286" s="1"/>
      <c r="G286" s="1"/>
      <c r="H286" s="19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16"/>
      <c r="AH286" s="2"/>
      <c r="AI286" s="2">
        <f t="shared" si="36"/>
        <v>0</v>
      </c>
      <c r="AJ286" s="2">
        <f t="shared" si="37"/>
        <v>0</v>
      </c>
      <c r="AK286" s="2">
        <f t="shared" si="38"/>
        <v>0</v>
      </c>
      <c r="AL286" s="2">
        <f t="shared" si="39"/>
        <v>0</v>
      </c>
      <c r="AM286" s="2">
        <f t="shared" si="40"/>
        <v>0</v>
      </c>
      <c r="AN286" s="2">
        <f t="shared" si="41"/>
        <v>0</v>
      </c>
    </row>
    <row r="287" spans="1:40" ht="30" hidden="1" customHeight="1" x14ac:dyDescent="0.25">
      <c r="A287" s="11"/>
      <c r="B287" s="27"/>
      <c r="C287" s="9"/>
      <c r="D287" s="6"/>
      <c r="E287" s="1"/>
      <c r="F287" s="1"/>
      <c r="G287" s="1"/>
      <c r="H287" s="19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16"/>
      <c r="AH287" s="2"/>
      <c r="AI287" s="2">
        <f t="shared" si="36"/>
        <v>0</v>
      </c>
      <c r="AJ287" s="2">
        <f t="shared" si="37"/>
        <v>0</v>
      </c>
      <c r="AK287" s="2">
        <f t="shared" si="38"/>
        <v>0</v>
      </c>
      <c r="AL287" s="2">
        <f t="shared" si="39"/>
        <v>0</v>
      </c>
      <c r="AM287" s="2">
        <f t="shared" si="40"/>
        <v>0</v>
      </c>
      <c r="AN287" s="2">
        <f t="shared" si="41"/>
        <v>0</v>
      </c>
    </row>
    <row r="288" spans="1:40" ht="30" hidden="1" customHeight="1" x14ac:dyDescent="0.25">
      <c r="A288" s="11"/>
      <c r="B288" s="27"/>
      <c r="C288" s="9"/>
      <c r="D288" s="6"/>
      <c r="E288" s="1"/>
      <c r="F288" s="1"/>
      <c r="G288" s="1"/>
      <c r="H288" s="19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16"/>
      <c r="AH288" s="2"/>
      <c r="AI288" s="2">
        <f t="shared" si="36"/>
        <v>0</v>
      </c>
      <c r="AJ288" s="2">
        <f t="shared" si="37"/>
        <v>0</v>
      </c>
      <c r="AK288" s="2">
        <f t="shared" si="38"/>
        <v>0</v>
      </c>
      <c r="AL288" s="2">
        <f t="shared" si="39"/>
        <v>0</v>
      </c>
      <c r="AM288" s="2">
        <f t="shared" si="40"/>
        <v>0</v>
      </c>
      <c r="AN288" s="2">
        <f t="shared" si="41"/>
        <v>0</v>
      </c>
    </row>
    <row r="289" spans="1:40" ht="30" hidden="1" customHeight="1" x14ac:dyDescent="0.25">
      <c r="A289" s="11"/>
      <c r="B289" s="27"/>
      <c r="C289" s="9"/>
      <c r="D289" s="6"/>
      <c r="E289" s="1"/>
      <c r="F289" s="1"/>
      <c r="G289" s="1"/>
      <c r="H289" s="19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16"/>
      <c r="AH289" s="2"/>
      <c r="AI289" s="2">
        <f t="shared" si="36"/>
        <v>0</v>
      </c>
      <c r="AJ289" s="2">
        <f t="shared" si="37"/>
        <v>0</v>
      </c>
      <c r="AK289" s="2">
        <f t="shared" si="38"/>
        <v>0</v>
      </c>
      <c r="AL289" s="2">
        <f t="shared" si="39"/>
        <v>0</v>
      </c>
      <c r="AM289" s="2">
        <f t="shared" si="40"/>
        <v>0</v>
      </c>
      <c r="AN289" s="2">
        <f t="shared" si="41"/>
        <v>0</v>
      </c>
    </row>
    <row r="290" spans="1:40" ht="30" hidden="1" customHeight="1" x14ac:dyDescent="0.25">
      <c r="A290" s="11"/>
      <c r="B290" s="27"/>
      <c r="C290" s="9"/>
      <c r="D290" s="6"/>
      <c r="E290" s="1"/>
      <c r="F290" s="1"/>
      <c r="G290" s="1"/>
      <c r="H290" s="19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16"/>
      <c r="AH290" s="2"/>
      <c r="AI290" s="2">
        <f t="shared" si="36"/>
        <v>0</v>
      </c>
      <c r="AJ290" s="2">
        <f t="shared" si="37"/>
        <v>0</v>
      </c>
      <c r="AK290" s="2">
        <f t="shared" si="38"/>
        <v>0</v>
      </c>
      <c r="AL290" s="2">
        <f t="shared" si="39"/>
        <v>0</v>
      </c>
      <c r="AM290" s="2">
        <f t="shared" si="40"/>
        <v>0</v>
      </c>
      <c r="AN290" s="2">
        <f t="shared" si="41"/>
        <v>0</v>
      </c>
    </row>
    <row r="291" spans="1:40" ht="30" hidden="1" customHeight="1" x14ac:dyDescent="0.25">
      <c r="A291" s="11"/>
      <c r="B291" s="27"/>
      <c r="C291" s="9"/>
      <c r="D291" s="6"/>
      <c r="E291" s="1"/>
      <c r="F291" s="1"/>
      <c r="G291" s="1"/>
      <c r="H291" s="19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16"/>
      <c r="AH291" s="2"/>
      <c r="AI291" s="2">
        <f t="shared" si="36"/>
        <v>0</v>
      </c>
      <c r="AJ291" s="2">
        <f t="shared" si="37"/>
        <v>0</v>
      </c>
      <c r="AK291" s="2">
        <f t="shared" si="38"/>
        <v>0</v>
      </c>
      <c r="AL291" s="2">
        <f t="shared" si="39"/>
        <v>0</v>
      </c>
      <c r="AM291" s="2">
        <f t="shared" si="40"/>
        <v>0</v>
      </c>
      <c r="AN291" s="2">
        <f t="shared" si="41"/>
        <v>0</v>
      </c>
    </row>
    <row r="292" spans="1:40" ht="30" hidden="1" customHeight="1" x14ac:dyDescent="0.25">
      <c r="A292" s="11"/>
      <c r="B292" s="27"/>
      <c r="C292" s="9"/>
      <c r="D292" s="6"/>
      <c r="E292" s="1"/>
      <c r="F292" s="1"/>
      <c r="G292" s="1"/>
      <c r="H292" s="19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16"/>
      <c r="AH292" s="2"/>
      <c r="AI292" s="2">
        <f t="shared" si="36"/>
        <v>0</v>
      </c>
      <c r="AJ292" s="2">
        <f t="shared" si="37"/>
        <v>0</v>
      </c>
      <c r="AK292" s="2">
        <f t="shared" si="38"/>
        <v>0</v>
      </c>
      <c r="AL292" s="2">
        <f t="shared" si="39"/>
        <v>0</v>
      </c>
      <c r="AM292" s="2">
        <f t="shared" si="40"/>
        <v>0</v>
      </c>
      <c r="AN292" s="2">
        <f t="shared" si="41"/>
        <v>0</v>
      </c>
    </row>
    <row r="293" spans="1:40" ht="30" hidden="1" customHeight="1" x14ac:dyDescent="0.25">
      <c r="A293" s="11"/>
      <c r="B293" s="27"/>
      <c r="C293" s="9"/>
      <c r="D293" s="6"/>
      <c r="E293" s="1"/>
      <c r="F293" s="1"/>
      <c r="G293" s="1"/>
      <c r="H293" s="19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16"/>
      <c r="AH293" s="2"/>
      <c r="AI293" s="2">
        <f t="shared" si="36"/>
        <v>0</v>
      </c>
      <c r="AJ293" s="2">
        <f t="shared" si="37"/>
        <v>0</v>
      </c>
      <c r="AK293" s="2">
        <f t="shared" si="38"/>
        <v>0</v>
      </c>
      <c r="AL293" s="2">
        <f t="shared" si="39"/>
        <v>0</v>
      </c>
      <c r="AM293" s="2">
        <f t="shared" si="40"/>
        <v>0</v>
      </c>
      <c r="AN293" s="2">
        <f t="shared" si="41"/>
        <v>0</v>
      </c>
    </row>
    <row r="294" spans="1:40" ht="30" hidden="1" customHeight="1" x14ac:dyDescent="0.25">
      <c r="A294" s="11"/>
      <c r="B294" s="27"/>
      <c r="C294" s="9"/>
      <c r="D294" s="6"/>
      <c r="E294" s="1"/>
      <c r="F294" s="1"/>
      <c r="G294" s="1"/>
      <c r="H294" s="19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16"/>
      <c r="AH294" s="2"/>
      <c r="AI294" s="2">
        <f t="shared" si="36"/>
        <v>0</v>
      </c>
      <c r="AJ294" s="2">
        <f t="shared" si="37"/>
        <v>0</v>
      </c>
      <c r="AK294" s="2">
        <f t="shared" si="38"/>
        <v>0</v>
      </c>
      <c r="AL294" s="2">
        <f t="shared" si="39"/>
        <v>0</v>
      </c>
      <c r="AM294" s="2">
        <f t="shared" si="40"/>
        <v>0</v>
      </c>
      <c r="AN294" s="2">
        <f t="shared" si="41"/>
        <v>0</v>
      </c>
    </row>
    <row r="295" spans="1:40" ht="30" hidden="1" customHeight="1" x14ac:dyDescent="0.25">
      <c r="A295" s="11"/>
      <c r="B295" s="27"/>
      <c r="C295" s="9"/>
      <c r="D295" s="6"/>
      <c r="E295" s="1"/>
      <c r="F295" s="1"/>
      <c r="G295" s="1"/>
      <c r="H295" s="19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16"/>
      <c r="AH295" s="2"/>
      <c r="AI295" s="2">
        <f t="shared" si="36"/>
        <v>0</v>
      </c>
      <c r="AJ295" s="2">
        <f t="shared" si="37"/>
        <v>0</v>
      </c>
      <c r="AK295" s="2">
        <f t="shared" si="38"/>
        <v>0</v>
      </c>
      <c r="AL295" s="2">
        <f t="shared" si="39"/>
        <v>0</v>
      </c>
      <c r="AM295" s="2">
        <f t="shared" si="40"/>
        <v>0</v>
      </c>
      <c r="AN295" s="2">
        <f t="shared" si="41"/>
        <v>0</v>
      </c>
    </row>
    <row r="296" spans="1:40" ht="30" hidden="1" customHeight="1" x14ac:dyDescent="0.25">
      <c r="A296" s="11"/>
      <c r="B296" s="27"/>
      <c r="C296" s="9"/>
      <c r="D296" s="6"/>
      <c r="E296" s="1"/>
      <c r="F296" s="1"/>
      <c r="G296" s="1"/>
      <c r="H296" s="19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16"/>
      <c r="AH296" s="2"/>
      <c r="AI296" s="2">
        <f t="shared" si="36"/>
        <v>0</v>
      </c>
      <c r="AJ296" s="2">
        <f t="shared" si="37"/>
        <v>0</v>
      </c>
      <c r="AK296" s="2">
        <f t="shared" si="38"/>
        <v>0</v>
      </c>
      <c r="AL296" s="2">
        <f t="shared" si="39"/>
        <v>0</v>
      </c>
      <c r="AM296" s="2">
        <f t="shared" si="40"/>
        <v>0</v>
      </c>
      <c r="AN296" s="2">
        <f t="shared" si="41"/>
        <v>0</v>
      </c>
    </row>
    <row r="297" spans="1:40" ht="30" hidden="1" customHeight="1" x14ac:dyDescent="0.25">
      <c r="A297" s="11"/>
      <c r="B297" s="27"/>
      <c r="C297" s="9"/>
      <c r="D297" s="6"/>
      <c r="E297" s="1"/>
      <c r="F297" s="1"/>
      <c r="G297" s="1"/>
      <c r="H297" s="19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16"/>
      <c r="AH297" s="2"/>
      <c r="AI297" s="2">
        <f t="shared" si="36"/>
        <v>0</v>
      </c>
      <c r="AJ297" s="2">
        <f t="shared" si="37"/>
        <v>0</v>
      </c>
      <c r="AK297" s="2">
        <f t="shared" si="38"/>
        <v>0</v>
      </c>
      <c r="AL297" s="2">
        <f t="shared" si="39"/>
        <v>0</v>
      </c>
      <c r="AM297" s="2">
        <f t="shared" si="40"/>
        <v>0</v>
      </c>
      <c r="AN297" s="2">
        <f t="shared" si="41"/>
        <v>0</v>
      </c>
    </row>
    <row r="298" spans="1:40" ht="30" hidden="1" customHeight="1" x14ac:dyDescent="0.25">
      <c r="A298" s="11"/>
      <c r="B298" s="27"/>
      <c r="C298" s="9"/>
      <c r="D298" s="6"/>
      <c r="E298" s="1"/>
      <c r="F298" s="1"/>
      <c r="G298" s="1"/>
      <c r="H298" s="19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16"/>
      <c r="AH298" s="2"/>
      <c r="AI298" s="2">
        <f t="shared" si="36"/>
        <v>0</v>
      </c>
      <c r="AJ298" s="2">
        <f t="shared" si="37"/>
        <v>0</v>
      </c>
      <c r="AK298" s="2">
        <f t="shared" si="38"/>
        <v>0</v>
      </c>
      <c r="AL298" s="2">
        <f t="shared" si="39"/>
        <v>0</v>
      </c>
      <c r="AM298" s="2">
        <f t="shared" si="40"/>
        <v>0</v>
      </c>
      <c r="AN298" s="2">
        <f t="shared" si="41"/>
        <v>0</v>
      </c>
    </row>
    <row r="299" spans="1:40" ht="30" hidden="1" customHeight="1" x14ac:dyDescent="0.25">
      <c r="A299" s="11"/>
      <c r="B299" s="27"/>
      <c r="C299" s="9"/>
      <c r="D299" s="6"/>
      <c r="E299" s="1"/>
      <c r="F299" s="1"/>
      <c r="G299" s="1"/>
      <c r="H299" s="19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16"/>
      <c r="AH299" s="2"/>
      <c r="AI299" s="2">
        <f t="shared" si="36"/>
        <v>0</v>
      </c>
      <c r="AJ299" s="2">
        <f t="shared" si="37"/>
        <v>0</v>
      </c>
      <c r="AK299" s="2">
        <f t="shared" si="38"/>
        <v>0</v>
      </c>
      <c r="AL299" s="2">
        <f t="shared" si="39"/>
        <v>0</v>
      </c>
      <c r="AM299" s="2">
        <f t="shared" si="40"/>
        <v>0</v>
      </c>
      <c r="AN299" s="2">
        <f t="shared" si="41"/>
        <v>0</v>
      </c>
    </row>
    <row r="300" spans="1:40" ht="30" hidden="1" customHeight="1" x14ac:dyDescent="0.25">
      <c r="A300" s="11"/>
      <c r="B300" s="27"/>
      <c r="C300" s="9"/>
      <c r="D300" s="6"/>
      <c r="E300" s="1"/>
      <c r="F300" s="1"/>
      <c r="G300" s="1"/>
      <c r="H300" s="19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16"/>
      <c r="AH300" s="2"/>
      <c r="AI300" s="2">
        <f t="shared" si="36"/>
        <v>0</v>
      </c>
      <c r="AJ300" s="2">
        <f t="shared" si="37"/>
        <v>0</v>
      </c>
      <c r="AK300" s="2">
        <f t="shared" si="38"/>
        <v>0</v>
      </c>
      <c r="AL300" s="2">
        <f t="shared" si="39"/>
        <v>0</v>
      </c>
      <c r="AM300" s="2">
        <f t="shared" si="40"/>
        <v>0</v>
      </c>
      <c r="AN300" s="2">
        <f t="shared" si="41"/>
        <v>0</v>
      </c>
    </row>
    <row r="301" spans="1:40" ht="30" hidden="1" customHeight="1" x14ac:dyDescent="0.25">
      <c r="A301" s="11"/>
      <c r="B301" s="27"/>
      <c r="C301" s="9"/>
      <c r="D301" s="6"/>
      <c r="E301" s="1"/>
      <c r="F301" s="1"/>
      <c r="G301" s="1"/>
      <c r="H301" s="19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16"/>
      <c r="AH301" s="2"/>
      <c r="AI301" s="2">
        <f t="shared" si="36"/>
        <v>0</v>
      </c>
      <c r="AJ301" s="2">
        <f t="shared" si="37"/>
        <v>0</v>
      </c>
      <c r="AK301" s="2">
        <f t="shared" si="38"/>
        <v>0</v>
      </c>
      <c r="AL301" s="2">
        <f t="shared" si="39"/>
        <v>0</v>
      </c>
      <c r="AM301" s="2">
        <f t="shared" si="40"/>
        <v>0</v>
      </c>
      <c r="AN301" s="2">
        <f t="shared" si="41"/>
        <v>0</v>
      </c>
    </row>
    <row r="302" spans="1:40" ht="30" hidden="1" customHeight="1" x14ac:dyDescent="0.25">
      <c r="A302" s="11"/>
      <c r="B302" s="27"/>
      <c r="C302" s="9"/>
      <c r="D302" s="6"/>
      <c r="E302" s="1"/>
      <c r="F302" s="1"/>
      <c r="G302" s="1"/>
      <c r="H302" s="19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16"/>
      <c r="AH302" s="2"/>
      <c r="AI302" s="2">
        <f t="shared" si="36"/>
        <v>0</v>
      </c>
      <c r="AJ302" s="2">
        <f t="shared" si="37"/>
        <v>0</v>
      </c>
      <c r="AK302" s="2">
        <f t="shared" si="38"/>
        <v>0</v>
      </c>
      <c r="AL302" s="2">
        <f t="shared" si="39"/>
        <v>0</v>
      </c>
      <c r="AM302" s="2">
        <f t="shared" si="40"/>
        <v>0</v>
      </c>
      <c r="AN302" s="2">
        <f t="shared" si="41"/>
        <v>0</v>
      </c>
    </row>
    <row r="303" spans="1:40" ht="30" hidden="1" customHeight="1" x14ac:dyDescent="0.25">
      <c r="A303" s="11"/>
      <c r="B303" s="27"/>
      <c r="C303" s="9"/>
      <c r="D303" s="6"/>
      <c r="E303" s="1"/>
      <c r="F303" s="1"/>
      <c r="G303" s="1"/>
      <c r="H303" s="19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16"/>
      <c r="AH303" s="2"/>
      <c r="AI303" s="2">
        <f t="shared" si="36"/>
        <v>0</v>
      </c>
      <c r="AJ303" s="2">
        <f t="shared" si="37"/>
        <v>0</v>
      </c>
      <c r="AK303" s="2">
        <f t="shared" si="38"/>
        <v>0</v>
      </c>
      <c r="AL303" s="2">
        <f t="shared" si="39"/>
        <v>0</v>
      </c>
      <c r="AM303" s="2">
        <f t="shared" si="40"/>
        <v>0</v>
      </c>
      <c r="AN303" s="2">
        <f t="shared" si="41"/>
        <v>0</v>
      </c>
    </row>
    <row r="304" spans="1:40" ht="30" hidden="1" customHeight="1" x14ac:dyDescent="0.25">
      <c r="A304" s="11"/>
      <c r="B304" s="27"/>
      <c r="C304" s="9"/>
      <c r="D304" s="6"/>
      <c r="E304" s="1"/>
      <c r="F304" s="1"/>
      <c r="G304" s="1"/>
      <c r="H304" s="19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16"/>
      <c r="AH304" s="2"/>
      <c r="AI304" s="2">
        <f t="shared" si="36"/>
        <v>0</v>
      </c>
      <c r="AJ304" s="2">
        <f t="shared" si="37"/>
        <v>0</v>
      </c>
      <c r="AK304" s="2">
        <f t="shared" si="38"/>
        <v>0</v>
      </c>
      <c r="AL304" s="2">
        <f t="shared" si="39"/>
        <v>0</v>
      </c>
      <c r="AM304" s="2">
        <f t="shared" si="40"/>
        <v>0</v>
      </c>
      <c r="AN304" s="2">
        <f t="shared" si="41"/>
        <v>0</v>
      </c>
    </row>
    <row r="305" spans="1:40" ht="30" hidden="1" customHeight="1" x14ac:dyDescent="0.25">
      <c r="A305" s="11"/>
      <c r="B305" s="27"/>
      <c r="C305" s="9"/>
      <c r="D305" s="6"/>
      <c r="E305" s="1"/>
      <c r="F305" s="1"/>
      <c r="G305" s="1"/>
      <c r="H305" s="19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16"/>
      <c r="AH305" s="2"/>
      <c r="AI305" s="2">
        <f t="shared" si="36"/>
        <v>0</v>
      </c>
      <c r="AJ305" s="2">
        <f t="shared" si="37"/>
        <v>0</v>
      </c>
      <c r="AK305" s="2">
        <f t="shared" si="38"/>
        <v>0</v>
      </c>
      <c r="AL305" s="2">
        <f t="shared" si="39"/>
        <v>0</v>
      </c>
      <c r="AM305" s="2">
        <f t="shared" si="40"/>
        <v>0</v>
      </c>
      <c r="AN305" s="2">
        <f t="shared" si="41"/>
        <v>0</v>
      </c>
    </row>
    <row r="306" spans="1:40" ht="31.5" customHeight="1" x14ac:dyDescent="0.25">
      <c r="A306" s="55">
        <v>240</v>
      </c>
      <c r="B306" s="11" t="s">
        <v>26</v>
      </c>
      <c r="C306" s="9" t="s">
        <v>192</v>
      </c>
      <c r="D306" s="6" t="s">
        <v>190</v>
      </c>
      <c r="E306" s="1" t="s">
        <v>191</v>
      </c>
      <c r="F306" s="1" t="s">
        <v>36</v>
      </c>
      <c r="G306" s="1"/>
      <c r="H306" s="4">
        <v>8700</v>
      </c>
      <c r="I306" s="2"/>
      <c r="J306" s="2"/>
      <c r="K306" s="2">
        <v>8693.4</v>
      </c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>
        <v>8700</v>
      </c>
      <c r="X306" s="2"/>
      <c r="Y306" s="2">
        <v>-6.6</v>
      </c>
      <c r="Z306" s="2"/>
      <c r="AA306" s="2"/>
      <c r="AB306" s="2"/>
      <c r="AC306" s="2"/>
      <c r="AD306" s="2"/>
      <c r="AE306" s="2"/>
      <c r="AF306" s="2"/>
      <c r="AG306" s="4">
        <v>6.6</v>
      </c>
      <c r="AH306" s="2"/>
      <c r="AI306" s="2">
        <f t="shared" si="36"/>
        <v>8693.4</v>
      </c>
      <c r="AJ306" s="2">
        <f t="shared" si="37"/>
        <v>8693.4</v>
      </c>
      <c r="AK306" s="2">
        <f t="shared" si="38"/>
        <v>8693.4</v>
      </c>
      <c r="AL306" s="2">
        <f t="shared" ref="AL306:AL369" si="42">SUM(AJ306-AK306)+(AI306-AJ306)</f>
        <v>0</v>
      </c>
      <c r="AM306" s="2">
        <f t="shared" ref="AM306:AM369" si="43">SUM(AJ306-AK306)</f>
        <v>0</v>
      </c>
      <c r="AN306" s="2">
        <f t="shared" ref="AN306:AN369" si="44">SUM(AI306-AJ306)</f>
        <v>0</v>
      </c>
    </row>
    <row r="307" spans="1:40" ht="30.75" customHeight="1" x14ac:dyDescent="0.25">
      <c r="A307" s="55">
        <v>244</v>
      </c>
      <c r="B307" s="11" t="s">
        <v>56</v>
      </c>
      <c r="C307" s="9" t="s">
        <v>270</v>
      </c>
      <c r="D307" s="6" t="s">
        <v>268</v>
      </c>
      <c r="E307" s="1" t="s">
        <v>269</v>
      </c>
      <c r="F307" s="1" t="s">
        <v>37</v>
      </c>
      <c r="G307" s="1"/>
      <c r="H307" s="4">
        <v>5200</v>
      </c>
      <c r="I307" s="2"/>
      <c r="J307" s="2"/>
      <c r="K307" s="2"/>
      <c r="L307" s="2">
        <v>5200</v>
      </c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>
        <v>5200</v>
      </c>
      <c r="Y307" s="2"/>
      <c r="Z307" s="2"/>
      <c r="AA307" s="2"/>
      <c r="AB307" s="2"/>
      <c r="AC307" s="2"/>
      <c r="AD307" s="2"/>
      <c r="AE307" s="2"/>
      <c r="AF307" s="2"/>
      <c r="AG307" s="4"/>
      <c r="AH307" s="2"/>
      <c r="AI307" s="2">
        <f t="shared" si="36"/>
        <v>5200</v>
      </c>
      <c r="AJ307" s="2">
        <f t="shared" si="37"/>
        <v>5200</v>
      </c>
      <c r="AK307" s="2">
        <f t="shared" si="38"/>
        <v>5200</v>
      </c>
      <c r="AL307" s="2">
        <f t="shared" si="42"/>
        <v>0</v>
      </c>
      <c r="AM307" s="2">
        <f t="shared" si="43"/>
        <v>0</v>
      </c>
      <c r="AN307" s="2">
        <f t="shared" si="44"/>
        <v>0</v>
      </c>
    </row>
    <row r="308" spans="1:40" ht="30.75" customHeight="1" x14ac:dyDescent="0.25">
      <c r="A308" s="55">
        <v>254</v>
      </c>
      <c r="B308" s="11" t="s">
        <v>56</v>
      </c>
      <c r="C308" s="45" t="s">
        <v>171</v>
      </c>
      <c r="D308" s="6" t="s">
        <v>169</v>
      </c>
      <c r="E308" s="1" t="s">
        <v>170</v>
      </c>
      <c r="F308" s="1" t="s">
        <v>37</v>
      </c>
      <c r="G308" s="1"/>
      <c r="H308" s="4">
        <v>400</v>
      </c>
      <c r="I308" s="2"/>
      <c r="J308" s="2"/>
      <c r="K308" s="2"/>
      <c r="L308" s="2">
        <v>830.85</v>
      </c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>
        <v>830.85</v>
      </c>
      <c r="Y308" s="2"/>
      <c r="Z308" s="2"/>
      <c r="AA308" s="2"/>
      <c r="AB308" s="2"/>
      <c r="AC308" s="2"/>
      <c r="AD308" s="2"/>
      <c r="AE308" s="2"/>
      <c r="AF308" s="2"/>
      <c r="AG308" s="4">
        <v>1568.15</v>
      </c>
      <c r="AH308" s="2">
        <v>2000</v>
      </c>
      <c r="AI308" s="2">
        <f t="shared" si="36"/>
        <v>831.84999999999991</v>
      </c>
      <c r="AJ308" s="2">
        <f t="shared" si="37"/>
        <v>830.85</v>
      </c>
      <c r="AK308" s="2">
        <f t="shared" si="38"/>
        <v>830.85</v>
      </c>
      <c r="AL308" s="2">
        <f t="shared" si="42"/>
        <v>0.99999999999988631</v>
      </c>
      <c r="AM308" s="2">
        <f t="shared" si="43"/>
        <v>0</v>
      </c>
      <c r="AN308" s="2">
        <f t="shared" si="44"/>
        <v>0.99999999999988631</v>
      </c>
    </row>
    <row r="309" spans="1:40" ht="30.75" customHeight="1" x14ac:dyDescent="0.25">
      <c r="A309" s="55">
        <v>262</v>
      </c>
      <c r="B309" s="11" t="s">
        <v>56</v>
      </c>
      <c r="C309" s="9" t="s">
        <v>91</v>
      </c>
      <c r="D309" s="6" t="s">
        <v>89</v>
      </c>
      <c r="E309" s="1" t="s">
        <v>90</v>
      </c>
      <c r="F309" s="1" t="s">
        <v>37</v>
      </c>
      <c r="G309" s="1"/>
      <c r="H309" s="4">
        <v>20000</v>
      </c>
      <c r="I309" s="2"/>
      <c r="J309" s="2"/>
      <c r="K309" s="2"/>
      <c r="L309" s="2"/>
      <c r="M309" s="2"/>
      <c r="N309" s="2">
        <f>2487.84+3020.33+61.18+74.27</f>
        <v>5643.6200000000008</v>
      </c>
      <c r="O309" s="2">
        <v>3488.11</v>
      </c>
      <c r="P309" s="2">
        <v>1077.9000000000001</v>
      </c>
      <c r="Q309" s="2">
        <v>1666.4</v>
      </c>
      <c r="R309" s="2">
        <v>20492.59</v>
      </c>
      <c r="S309" s="2"/>
      <c r="T309" s="2"/>
      <c r="U309" s="2"/>
      <c r="V309" s="2"/>
      <c r="W309" s="2"/>
      <c r="X309" s="2"/>
      <c r="Y309" s="2"/>
      <c r="Z309" s="2">
        <f>2549.02+3094.6</f>
        <v>5643.62</v>
      </c>
      <c r="AA309" s="2">
        <v>3488.11</v>
      </c>
      <c r="AB309" s="2">
        <f>1052.03+25.87</f>
        <v>1077.8999999999999</v>
      </c>
      <c r="AC309" s="2">
        <v>1666.4</v>
      </c>
      <c r="AD309" s="2">
        <v>20492.59</v>
      </c>
      <c r="AE309" s="2"/>
      <c r="AF309" s="2"/>
      <c r="AG309" s="4">
        <v>506</v>
      </c>
      <c r="AH309" s="2">
        <v>15000</v>
      </c>
      <c r="AI309" s="2">
        <f t="shared" si="36"/>
        <v>34494</v>
      </c>
      <c r="AJ309" s="2">
        <f t="shared" si="37"/>
        <v>32368.620000000003</v>
      </c>
      <c r="AK309" s="2">
        <f t="shared" si="38"/>
        <v>32368.62</v>
      </c>
      <c r="AL309" s="2">
        <f t="shared" si="42"/>
        <v>2125.380000000001</v>
      </c>
      <c r="AM309" s="2">
        <f t="shared" si="43"/>
        <v>3.637978807091713E-12</v>
      </c>
      <c r="AN309" s="2">
        <f t="shared" si="44"/>
        <v>2125.3799999999974</v>
      </c>
    </row>
    <row r="310" spans="1:40" ht="30.75" customHeight="1" x14ac:dyDescent="0.25">
      <c r="A310" s="55">
        <v>267</v>
      </c>
      <c r="B310" s="11" t="s">
        <v>26</v>
      </c>
      <c r="C310" s="9" t="s">
        <v>160</v>
      </c>
      <c r="D310" s="6" t="s">
        <v>271</v>
      </c>
      <c r="E310" s="1" t="s">
        <v>272</v>
      </c>
      <c r="F310" s="1" t="s">
        <v>37</v>
      </c>
      <c r="G310" s="1"/>
      <c r="H310" s="4">
        <v>300</v>
      </c>
      <c r="I310" s="2"/>
      <c r="J310" s="2"/>
      <c r="K310" s="2"/>
      <c r="L310" s="2">
        <v>300</v>
      </c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>
        <v>300</v>
      </c>
      <c r="Y310" s="2"/>
      <c r="Z310" s="2"/>
      <c r="AA310" s="2"/>
      <c r="AB310" s="2"/>
      <c r="AC310" s="2"/>
      <c r="AD310" s="2"/>
      <c r="AE310" s="2"/>
      <c r="AF310" s="2"/>
      <c r="AG310" s="4"/>
      <c r="AH310" s="2"/>
      <c r="AI310" s="2">
        <f t="shared" si="36"/>
        <v>300</v>
      </c>
      <c r="AJ310" s="2">
        <f t="shared" si="37"/>
        <v>300</v>
      </c>
      <c r="AK310" s="2">
        <f t="shared" si="38"/>
        <v>300</v>
      </c>
      <c r="AL310" s="2">
        <f t="shared" si="42"/>
        <v>0</v>
      </c>
      <c r="AM310" s="2">
        <f t="shared" si="43"/>
        <v>0</v>
      </c>
      <c r="AN310" s="2">
        <f t="shared" si="44"/>
        <v>0</v>
      </c>
    </row>
    <row r="311" spans="1:40" ht="30.75" customHeight="1" x14ac:dyDescent="0.25">
      <c r="A311" s="55">
        <v>268</v>
      </c>
      <c r="B311" s="11" t="s">
        <v>26</v>
      </c>
      <c r="C311" s="9" t="s">
        <v>160</v>
      </c>
      <c r="D311" s="6" t="s">
        <v>273</v>
      </c>
      <c r="E311" s="1" t="s">
        <v>274</v>
      </c>
      <c r="F311" s="1" t="s">
        <v>37</v>
      </c>
      <c r="G311" s="1"/>
      <c r="H311" s="4">
        <v>500</v>
      </c>
      <c r="I311" s="2"/>
      <c r="J311" s="2"/>
      <c r="K311" s="2"/>
      <c r="L311" s="2">
        <v>500</v>
      </c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>
        <v>500</v>
      </c>
      <c r="Y311" s="2"/>
      <c r="Z311" s="2"/>
      <c r="AA311" s="2"/>
      <c r="AB311" s="2"/>
      <c r="AC311" s="2"/>
      <c r="AD311" s="2"/>
      <c r="AE311" s="2"/>
      <c r="AF311" s="2"/>
      <c r="AG311" s="4"/>
      <c r="AH311" s="2"/>
      <c r="AI311" s="2">
        <f t="shared" si="36"/>
        <v>500</v>
      </c>
      <c r="AJ311" s="2">
        <f t="shared" si="37"/>
        <v>500</v>
      </c>
      <c r="AK311" s="2">
        <f t="shared" si="38"/>
        <v>500</v>
      </c>
      <c r="AL311" s="2">
        <f t="shared" si="42"/>
        <v>0</v>
      </c>
      <c r="AM311" s="2">
        <f t="shared" si="43"/>
        <v>0</v>
      </c>
      <c r="AN311" s="2">
        <f t="shared" si="44"/>
        <v>0</v>
      </c>
    </row>
    <row r="312" spans="1:40" ht="30.75" customHeight="1" x14ac:dyDescent="0.25">
      <c r="A312" s="55">
        <v>269</v>
      </c>
      <c r="B312" s="11" t="s">
        <v>26</v>
      </c>
      <c r="C312" s="9" t="s">
        <v>160</v>
      </c>
      <c r="D312" s="6" t="s">
        <v>275</v>
      </c>
      <c r="E312" s="1" t="s">
        <v>276</v>
      </c>
      <c r="F312" s="1" t="s">
        <v>37</v>
      </c>
      <c r="G312" s="1"/>
      <c r="H312" s="4">
        <v>250</v>
      </c>
      <c r="I312" s="2"/>
      <c r="J312" s="2"/>
      <c r="K312" s="2"/>
      <c r="L312" s="2">
        <v>250</v>
      </c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>
        <v>250</v>
      </c>
      <c r="Y312" s="2"/>
      <c r="Z312" s="2"/>
      <c r="AA312" s="2"/>
      <c r="AB312" s="2"/>
      <c r="AC312" s="2"/>
      <c r="AD312" s="2"/>
      <c r="AE312" s="2"/>
      <c r="AF312" s="2"/>
      <c r="AG312" s="4"/>
      <c r="AH312" s="22"/>
      <c r="AI312" s="2">
        <f t="shared" si="36"/>
        <v>250</v>
      </c>
      <c r="AJ312" s="2">
        <f t="shared" si="37"/>
        <v>250</v>
      </c>
      <c r="AK312" s="2">
        <f t="shared" si="38"/>
        <v>250</v>
      </c>
      <c r="AL312" s="2">
        <f t="shared" si="42"/>
        <v>0</v>
      </c>
      <c r="AM312" s="2">
        <f t="shared" si="43"/>
        <v>0</v>
      </c>
      <c r="AN312" s="2">
        <f t="shared" si="44"/>
        <v>0</v>
      </c>
    </row>
    <row r="313" spans="1:40" ht="31.5" customHeight="1" x14ac:dyDescent="0.25">
      <c r="A313" s="55">
        <v>270</v>
      </c>
      <c r="B313" s="11" t="s">
        <v>56</v>
      </c>
      <c r="C313" s="6" t="s">
        <v>224</v>
      </c>
      <c r="D313" s="6" t="s">
        <v>222</v>
      </c>
      <c r="E313" s="1" t="s">
        <v>223</v>
      </c>
      <c r="F313" s="1" t="s">
        <v>36</v>
      </c>
      <c r="G313" s="1"/>
      <c r="H313" s="4">
        <v>18000</v>
      </c>
      <c r="I313" s="2"/>
      <c r="J313" s="2"/>
      <c r="K313" s="2"/>
      <c r="L313" s="2">
        <v>18000</v>
      </c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>
        <v>18000</v>
      </c>
      <c r="Y313" s="2"/>
      <c r="Z313" s="2"/>
      <c r="AA313" s="2"/>
      <c r="AB313" s="2"/>
      <c r="AC313" s="2"/>
      <c r="AD313" s="2"/>
      <c r="AE313" s="2"/>
      <c r="AF313" s="2"/>
      <c r="AG313" s="4"/>
      <c r="AH313" s="2"/>
      <c r="AI313" s="2">
        <f t="shared" si="36"/>
        <v>18000</v>
      </c>
      <c r="AJ313" s="2">
        <f t="shared" si="37"/>
        <v>18000</v>
      </c>
      <c r="AK313" s="2">
        <f t="shared" si="38"/>
        <v>18000</v>
      </c>
      <c r="AL313" s="2">
        <f t="shared" si="42"/>
        <v>0</v>
      </c>
      <c r="AM313" s="2">
        <f t="shared" si="43"/>
        <v>0</v>
      </c>
      <c r="AN313" s="2">
        <f t="shared" si="44"/>
        <v>0</v>
      </c>
    </row>
    <row r="314" spans="1:40" ht="30.75" customHeight="1" x14ac:dyDescent="0.25">
      <c r="A314" s="55">
        <v>271</v>
      </c>
      <c r="B314" s="11" t="s">
        <v>56</v>
      </c>
      <c r="C314" s="43" t="s">
        <v>171</v>
      </c>
      <c r="D314" s="6" t="s">
        <v>169</v>
      </c>
      <c r="E314" s="1" t="s">
        <v>170</v>
      </c>
      <c r="F314" s="1" t="s">
        <v>37</v>
      </c>
      <c r="G314" s="1"/>
      <c r="H314" s="4">
        <v>3540.12</v>
      </c>
      <c r="I314" s="2"/>
      <c r="J314" s="2"/>
      <c r="K314" s="2"/>
      <c r="L314" s="2"/>
      <c r="M314" s="2">
        <f>1898.01+1711.58</f>
        <v>3609.59</v>
      </c>
      <c r="N314" s="4"/>
      <c r="O314" s="2">
        <v>1686.59</v>
      </c>
      <c r="P314" s="2">
        <f>1671.76+1699.26</f>
        <v>3371.02</v>
      </c>
      <c r="Q314" s="2"/>
      <c r="R314" s="2">
        <v>1731.83</v>
      </c>
      <c r="S314" s="2"/>
      <c r="T314" s="2"/>
      <c r="U314" s="2"/>
      <c r="V314" s="2"/>
      <c r="W314" s="2"/>
      <c r="X314" s="2"/>
      <c r="Y314" s="2">
        <f>1898.01+1711.58</f>
        <v>3609.59</v>
      </c>
      <c r="Z314" s="2"/>
      <c r="AA314" s="4">
        <v>1686.59</v>
      </c>
      <c r="AB314" s="2">
        <f>1671.76+1699.26</f>
        <v>3371.02</v>
      </c>
      <c r="AC314" s="2"/>
      <c r="AD314" s="2">
        <v>1731.83</v>
      </c>
      <c r="AE314" s="2"/>
      <c r="AF314" s="2"/>
      <c r="AG314" s="4"/>
      <c r="AH314" s="2">
        <v>7100</v>
      </c>
      <c r="AI314" s="2">
        <f t="shared" si="36"/>
        <v>10640.119999999999</v>
      </c>
      <c r="AJ314" s="2">
        <f t="shared" si="37"/>
        <v>10399.030000000001</v>
      </c>
      <c r="AK314" s="2">
        <f t="shared" si="38"/>
        <v>10399.030000000001</v>
      </c>
      <c r="AL314" s="2">
        <f t="shared" si="42"/>
        <v>241.08999999999833</v>
      </c>
      <c r="AM314" s="2">
        <f t="shared" si="43"/>
        <v>0</v>
      </c>
      <c r="AN314" s="2">
        <f t="shared" si="44"/>
        <v>241.08999999999833</v>
      </c>
    </row>
    <row r="315" spans="1:40" ht="31.5" customHeight="1" x14ac:dyDescent="0.25">
      <c r="A315" s="55">
        <v>279</v>
      </c>
      <c r="B315" s="11" t="s">
        <v>56</v>
      </c>
      <c r="C315" s="14" t="s">
        <v>251</v>
      </c>
      <c r="D315" s="6" t="s">
        <v>169</v>
      </c>
      <c r="E315" s="1" t="s">
        <v>170</v>
      </c>
      <c r="F315" s="1" t="s">
        <v>36</v>
      </c>
      <c r="G315" s="1"/>
      <c r="H315" s="4">
        <v>34825</v>
      </c>
      <c r="I315" s="2"/>
      <c r="J315" s="2"/>
      <c r="K315" s="2"/>
      <c r="L315" s="2">
        <v>34825</v>
      </c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>
        <v>34825</v>
      </c>
      <c r="Y315" s="2"/>
      <c r="Z315" s="2"/>
      <c r="AA315" s="2"/>
      <c r="AB315" s="2"/>
      <c r="AC315" s="2"/>
      <c r="AD315" s="2"/>
      <c r="AE315" s="2"/>
      <c r="AF315" s="2"/>
      <c r="AG315" s="4"/>
      <c r="AH315" s="2"/>
      <c r="AI315" s="2">
        <f t="shared" si="36"/>
        <v>34825</v>
      </c>
      <c r="AJ315" s="2">
        <f t="shared" si="37"/>
        <v>34825</v>
      </c>
      <c r="AK315" s="2">
        <f t="shared" si="38"/>
        <v>34825</v>
      </c>
      <c r="AL315" s="2">
        <f t="shared" si="42"/>
        <v>0</v>
      </c>
      <c r="AM315" s="2">
        <f t="shared" si="43"/>
        <v>0</v>
      </c>
      <c r="AN315" s="2">
        <f t="shared" si="44"/>
        <v>0</v>
      </c>
    </row>
    <row r="316" spans="1:40" ht="31.5" customHeight="1" x14ac:dyDescent="0.25">
      <c r="A316" s="55">
        <v>281</v>
      </c>
      <c r="B316" s="11" t="s">
        <v>26</v>
      </c>
      <c r="C316" s="9" t="s">
        <v>94</v>
      </c>
      <c r="D316" s="6" t="s">
        <v>92</v>
      </c>
      <c r="E316" s="1" t="s">
        <v>93</v>
      </c>
      <c r="F316" s="1" t="s">
        <v>36</v>
      </c>
      <c r="G316" s="1"/>
      <c r="H316" s="4">
        <v>900</v>
      </c>
      <c r="I316" s="2"/>
      <c r="J316" s="2"/>
      <c r="K316" s="2"/>
      <c r="L316" s="2">
        <v>900</v>
      </c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>
        <v>900</v>
      </c>
      <c r="Y316" s="2"/>
      <c r="Z316" s="2"/>
      <c r="AA316" s="2"/>
      <c r="AB316" s="2"/>
      <c r="AC316" s="2"/>
      <c r="AD316" s="2"/>
      <c r="AE316" s="2"/>
      <c r="AF316" s="2"/>
      <c r="AG316" s="4"/>
      <c r="AH316" s="2"/>
      <c r="AI316" s="2">
        <f t="shared" si="36"/>
        <v>900</v>
      </c>
      <c r="AJ316" s="2">
        <f t="shared" si="37"/>
        <v>900</v>
      </c>
      <c r="AK316" s="2">
        <f t="shared" si="38"/>
        <v>900</v>
      </c>
      <c r="AL316" s="2">
        <f t="shared" si="42"/>
        <v>0</v>
      </c>
      <c r="AM316" s="2">
        <f t="shared" si="43"/>
        <v>0</v>
      </c>
      <c r="AN316" s="2">
        <f t="shared" si="44"/>
        <v>0</v>
      </c>
    </row>
    <row r="317" spans="1:40" ht="30.75" customHeight="1" x14ac:dyDescent="0.25">
      <c r="A317" s="55">
        <v>282</v>
      </c>
      <c r="B317" s="11" t="s">
        <v>26</v>
      </c>
      <c r="C317" s="10" t="s">
        <v>192</v>
      </c>
      <c r="D317" s="6" t="s">
        <v>193</v>
      </c>
      <c r="E317" s="1" t="s">
        <v>194</v>
      </c>
      <c r="F317" s="1" t="s">
        <v>36</v>
      </c>
      <c r="G317" s="1"/>
      <c r="H317" s="4">
        <v>8700</v>
      </c>
      <c r="I317" s="2"/>
      <c r="J317" s="2"/>
      <c r="K317" s="2"/>
      <c r="L317" s="2">
        <v>8590</v>
      </c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>
        <v>8700</v>
      </c>
      <c r="Y317" s="2"/>
      <c r="Z317" s="2">
        <v>-110</v>
      </c>
      <c r="AA317" s="2"/>
      <c r="AB317" s="2"/>
      <c r="AC317" s="2"/>
      <c r="AD317" s="2"/>
      <c r="AE317" s="2"/>
      <c r="AF317" s="2"/>
      <c r="AG317" s="4">
        <v>110</v>
      </c>
      <c r="AH317" s="2"/>
      <c r="AI317" s="2">
        <f t="shared" si="36"/>
        <v>8590</v>
      </c>
      <c r="AJ317" s="2">
        <f t="shared" si="37"/>
        <v>8590</v>
      </c>
      <c r="AK317" s="2">
        <f t="shared" si="38"/>
        <v>8590</v>
      </c>
      <c r="AL317" s="2">
        <f t="shared" si="42"/>
        <v>0</v>
      </c>
      <c r="AM317" s="2">
        <f t="shared" si="43"/>
        <v>0</v>
      </c>
      <c r="AN317" s="2">
        <f t="shared" si="44"/>
        <v>0</v>
      </c>
    </row>
    <row r="318" spans="1:40" ht="31.5" customHeight="1" x14ac:dyDescent="0.25">
      <c r="A318" s="55">
        <v>283</v>
      </c>
      <c r="B318" s="11" t="s">
        <v>26</v>
      </c>
      <c r="C318" s="9" t="s">
        <v>279</v>
      </c>
      <c r="D318" s="6" t="s">
        <v>277</v>
      </c>
      <c r="E318" s="17" t="s">
        <v>278</v>
      </c>
      <c r="F318" s="1" t="s">
        <v>66</v>
      </c>
      <c r="G318" s="1"/>
      <c r="H318" s="4">
        <v>969.51</v>
      </c>
      <c r="I318" s="2"/>
      <c r="J318" s="2"/>
      <c r="K318" s="2"/>
      <c r="L318" s="2">
        <v>969.51</v>
      </c>
      <c r="M318" s="2"/>
      <c r="N318" s="2"/>
      <c r="O318" s="2"/>
      <c r="P318" s="2"/>
      <c r="Q318" s="2"/>
      <c r="R318" s="2"/>
      <c r="S318" s="36"/>
      <c r="T318" s="15"/>
      <c r="U318" s="2"/>
      <c r="V318" s="2"/>
      <c r="W318" s="2"/>
      <c r="X318" s="2">
        <v>969.51</v>
      </c>
      <c r="Y318" s="2"/>
      <c r="Z318" s="2"/>
      <c r="AA318" s="2"/>
      <c r="AB318" s="2"/>
      <c r="AC318" s="2"/>
      <c r="AD318" s="2"/>
      <c r="AE318" s="18"/>
      <c r="AF318" s="15"/>
      <c r="AG318" s="4"/>
      <c r="AH318" s="57"/>
      <c r="AI318" s="2">
        <f t="shared" si="36"/>
        <v>969.51</v>
      </c>
      <c r="AJ318" s="2">
        <f t="shared" si="37"/>
        <v>969.51</v>
      </c>
      <c r="AK318" s="2">
        <f t="shared" si="38"/>
        <v>969.51</v>
      </c>
      <c r="AL318" s="2">
        <f t="shared" si="42"/>
        <v>0</v>
      </c>
      <c r="AM318" s="2">
        <f t="shared" si="43"/>
        <v>0</v>
      </c>
      <c r="AN318" s="2">
        <f t="shared" si="44"/>
        <v>0</v>
      </c>
    </row>
    <row r="319" spans="1:40" ht="31.5" customHeight="1" x14ac:dyDescent="0.25">
      <c r="A319" s="55">
        <v>306</v>
      </c>
      <c r="B319" s="11" t="s">
        <v>56</v>
      </c>
      <c r="C319" s="14" t="s">
        <v>282</v>
      </c>
      <c r="D319" s="6" t="s">
        <v>280</v>
      </c>
      <c r="E319" s="1" t="s">
        <v>281</v>
      </c>
      <c r="F319" s="1" t="s">
        <v>37</v>
      </c>
      <c r="G319" s="1"/>
      <c r="H319" s="4">
        <v>3000</v>
      </c>
      <c r="I319" s="2"/>
      <c r="J319" s="2"/>
      <c r="K319" s="2"/>
      <c r="L319" s="2">
        <v>1499</v>
      </c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>
        <v>1499</v>
      </c>
      <c r="Y319" s="2"/>
      <c r="Z319" s="2"/>
      <c r="AA319" s="2"/>
      <c r="AB319" s="2"/>
      <c r="AC319" s="2"/>
      <c r="AD319" s="2"/>
      <c r="AE319" s="2"/>
      <c r="AF319" s="2"/>
      <c r="AG319" s="4"/>
      <c r="AH319" s="3">
        <v>14500</v>
      </c>
      <c r="AI319" s="2">
        <f t="shared" si="36"/>
        <v>17500</v>
      </c>
      <c r="AJ319" s="2">
        <f t="shared" si="37"/>
        <v>1499</v>
      </c>
      <c r="AK319" s="2">
        <f t="shared" si="38"/>
        <v>1499</v>
      </c>
      <c r="AL319" s="2">
        <f t="shared" si="42"/>
        <v>16001</v>
      </c>
      <c r="AM319" s="2">
        <f t="shared" si="43"/>
        <v>0</v>
      </c>
      <c r="AN319" s="2">
        <f t="shared" si="44"/>
        <v>16001</v>
      </c>
    </row>
    <row r="320" spans="1:40" ht="31.5" customHeight="1" x14ac:dyDescent="0.25">
      <c r="A320" s="55">
        <v>309</v>
      </c>
      <c r="B320" s="11" t="s">
        <v>56</v>
      </c>
      <c r="C320" s="9" t="s">
        <v>285</v>
      </c>
      <c r="D320" s="6" t="s">
        <v>283</v>
      </c>
      <c r="E320" s="1" t="s">
        <v>284</v>
      </c>
      <c r="F320" s="1" t="s">
        <v>37</v>
      </c>
      <c r="G320" s="1"/>
      <c r="H320" s="4">
        <v>33454</v>
      </c>
      <c r="I320" s="2"/>
      <c r="J320" s="2"/>
      <c r="K320" s="2"/>
      <c r="L320" s="2"/>
      <c r="M320" s="2"/>
      <c r="N320" s="2"/>
      <c r="O320" s="2"/>
      <c r="P320" s="2"/>
      <c r="Q320" s="2">
        <v>33454</v>
      </c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>
        <v>33454</v>
      </c>
      <c r="AD320" s="2"/>
      <c r="AE320" s="2"/>
      <c r="AF320" s="2"/>
      <c r="AG320" s="4"/>
      <c r="AH320" s="2"/>
      <c r="AI320" s="2">
        <f t="shared" si="36"/>
        <v>33454</v>
      </c>
      <c r="AJ320" s="2">
        <f t="shared" si="37"/>
        <v>33454</v>
      </c>
      <c r="AK320" s="2">
        <f t="shared" si="38"/>
        <v>33454</v>
      </c>
      <c r="AL320" s="2">
        <f t="shared" si="42"/>
        <v>0</v>
      </c>
      <c r="AM320" s="2">
        <f t="shared" si="43"/>
        <v>0</v>
      </c>
      <c r="AN320" s="2">
        <f t="shared" si="44"/>
        <v>0</v>
      </c>
    </row>
    <row r="321" spans="1:40" ht="31.5" customHeight="1" x14ac:dyDescent="0.25">
      <c r="A321" s="55">
        <v>317</v>
      </c>
      <c r="B321" s="11" t="s">
        <v>26</v>
      </c>
      <c r="C321" s="9" t="s">
        <v>94</v>
      </c>
      <c r="D321" s="6" t="s">
        <v>286</v>
      </c>
      <c r="E321" s="1" t="s">
        <v>287</v>
      </c>
      <c r="F321" s="1" t="s">
        <v>36</v>
      </c>
      <c r="G321" s="1"/>
      <c r="H321" s="4">
        <v>2800</v>
      </c>
      <c r="I321" s="2"/>
      <c r="J321" s="2"/>
      <c r="K321" s="2"/>
      <c r="L321" s="2"/>
      <c r="M321" s="2">
        <v>2800</v>
      </c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>
        <v>2800</v>
      </c>
      <c r="Z321" s="2"/>
      <c r="AA321" s="2"/>
      <c r="AB321" s="2"/>
      <c r="AC321" s="2"/>
      <c r="AD321" s="2"/>
      <c r="AE321" s="2"/>
      <c r="AF321" s="2"/>
      <c r="AG321" s="4"/>
      <c r="AH321" s="2"/>
      <c r="AI321" s="2">
        <f t="shared" si="36"/>
        <v>2800</v>
      </c>
      <c r="AJ321" s="2">
        <f t="shared" si="37"/>
        <v>2800</v>
      </c>
      <c r="AK321" s="2">
        <f t="shared" si="38"/>
        <v>2800</v>
      </c>
      <c r="AL321" s="2">
        <f t="shared" si="42"/>
        <v>0</v>
      </c>
      <c r="AM321" s="2">
        <f t="shared" si="43"/>
        <v>0</v>
      </c>
      <c r="AN321" s="2">
        <f t="shared" si="44"/>
        <v>0</v>
      </c>
    </row>
    <row r="322" spans="1:40" ht="30.75" customHeight="1" x14ac:dyDescent="0.25">
      <c r="A322" s="55">
        <v>318</v>
      </c>
      <c r="B322" s="11" t="s">
        <v>26</v>
      </c>
      <c r="C322" s="9" t="s">
        <v>290</v>
      </c>
      <c r="D322" s="6" t="s">
        <v>288</v>
      </c>
      <c r="E322" s="1" t="s">
        <v>289</v>
      </c>
      <c r="F322" s="1" t="s">
        <v>36</v>
      </c>
      <c r="G322" s="1"/>
      <c r="H322" s="4">
        <v>2800</v>
      </c>
      <c r="I322" s="2"/>
      <c r="J322" s="2"/>
      <c r="K322" s="2"/>
      <c r="L322" s="2"/>
      <c r="M322" s="2">
        <v>2800</v>
      </c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>
        <v>2800</v>
      </c>
      <c r="Z322" s="2"/>
      <c r="AA322" s="2"/>
      <c r="AB322" s="2"/>
      <c r="AC322" s="2"/>
      <c r="AD322" s="2"/>
      <c r="AE322" s="2"/>
      <c r="AF322" s="2"/>
      <c r="AG322" s="4"/>
      <c r="AH322" s="2"/>
      <c r="AI322" s="2">
        <f t="shared" si="36"/>
        <v>2800</v>
      </c>
      <c r="AJ322" s="2">
        <f t="shared" si="37"/>
        <v>2800</v>
      </c>
      <c r="AK322" s="2">
        <f t="shared" si="38"/>
        <v>2800</v>
      </c>
      <c r="AL322" s="2">
        <f t="shared" si="42"/>
        <v>0</v>
      </c>
      <c r="AM322" s="2">
        <f t="shared" si="43"/>
        <v>0</v>
      </c>
      <c r="AN322" s="2">
        <f t="shared" si="44"/>
        <v>0</v>
      </c>
    </row>
    <row r="323" spans="1:40" ht="30.75" customHeight="1" x14ac:dyDescent="0.25">
      <c r="A323" s="55">
        <v>319</v>
      </c>
      <c r="B323" s="11" t="s">
        <v>56</v>
      </c>
      <c r="C323" s="9" t="s">
        <v>292</v>
      </c>
      <c r="D323" s="6" t="s">
        <v>291</v>
      </c>
      <c r="E323" s="1" t="s">
        <v>216</v>
      </c>
      <c r="F323" s="1" t="s">
        <v>36</v>
      </c>
      <c r="G323" s="1"/>
      <c r="H323" s="4">
        <v>23000</v>
      </c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4"/>
      <c r="AH323" s="2"/>
      <c r="AI323" s="2">
        <f t="shared" si="36"/>
        <v>23000</v>
      </c>
      <c r="AJ323" s="2">
        <f t="shared" si="37"/>
        <v>0</v>
      </c>
      <c r="AK323" s="2">
        <f t="shared" si="38"/>
        <v>0</v>
      </c>
      <c r="AL323" s="2">
        <f t="shared" si="42"/>
        <v>23000</v>
      </c>
      <c r="AM323" s="2">
        <f t="shared" si="43"/>
        <v>0</v>
      </c>
      <c r="AN323" s="2">
        <f t="shared" si="44"/>
        <v>23000</v>
      </c>
    </row>
    <row r="324" spans="1:40" ht="31.5" customHeight="1" x14ac:dyDescent="0.25">
      <c r="A324" s="55">
        <v>320</v>
      </c>
      <c r="B324" s="11" t="s">
        <v>26</v>
      </c>
      <c r="C324" s="9" t="s">
        <v>230</v>
      </c>
      <c r="D324" s="6" t="s">
        <v>141</v>
      </c>
      <c r="E324" s="1" t="s">
        <v>142</v>
      </c>
      <c r="F324" s="1" t="s">
        <v>37</v>
      </c>
      <c r="G324" s="1"/>
      <c r="H324" s="4">
        <v>23500</v>
      </c>
      <c r="I324" s="2"/>
      <c r="J324" s="2"/>
      <c r="K324" s="2"/>
      <c r="L324" s="2"/>
      <c r="M324" s="2">
        <v>23500</v>
      </c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>
        <v>23500</v>
      </c>
      <c r="Z324" s="2"/>
      <c r="AA324" s="2"/>
      <c r="AB324" s="2"/>
      <c r="AC324" s="2"/>
      <c r="AD324" s="2"/>
      <c r="AE324" s="2"/>
      <c r="AF324" s="2"/>
      <c r="AG324" s="4"/>
      <c r="AH324" s="2"/>
      <c r="AI324" s="2">
        <f t="shared" si="36"/>
        <v>23500</v>
      </c>
      <c r="AJ324" s="2">
        <f t="shared" si="37"/>
        <v>23500</v>
      </c>
      <c r="AK324" s="2">
        <f t="shared" si="38"/>
        <v>23500</v>
      </c>
      <c r="AL324" s="2">
        <f t="shared" si="42"/>
        <v>0</v>
      </c>
      <c r="AM324" s="2">
        <f t="shared" si="43"/>
        <v>0</v>
      </c>
      <c r="AN324" s="2">
        <f t="shared" si="44"/>
        <v>0</v>
      </c>
    </row>
    <row r="325" spans="1:40" ht="30.75" customHeight="1" x14ac:dyDescent="0.25">
      <c r="A325" s="55">
        <v>323</v>
      </c>
      <c r="B325" s="11" t="s">
        <v>26</v>
      </c>
      <c r="C325" s="9" t="s">
        <v>295</v>
      </c>
      <c r="D325" s="6" t="s">
        <v>293</v>
      </c>
      <c r="E325" s="1" t="s">
        <v>294</v>
      </c>
      <c r="F325" s="1" t="s">
        <v>36</v>
      </c>
      <c r="G325" s="1"/>
      <c r="H325" s="4">
        <v>8000</v>
      </c>
      <c r="I325" s="2"/>
      <c r="J325" s="2"/>
      <c r="K325" s="2"/>
      <c r="L325" s="2"/>
      <c r="M325" s="2">
        <v>8000</v>
      </c>
      <c r="N325" s="2"/>
      <c r="O325" s="2"/>
      <c r="P325" s="2"/>
      <c r="Q325" s="2"/>
      <c r="R325" s="18"/>
      <c r="S325" s="18"/>
      <c r="T325" s="52"/>
      <c r="U325" s="2"/>
      <c r="V325" s="2"/>
      <c r="W325" s="2"/>
      <c r="X325" s="2"/>
      <c r="Y325" s="2">
        <f>7000+120+880</f>
        <v>8000</v>
      </c>
      <c r="Z325" s="2"/>
      <c r="AA325" s="2"/>
      <c r="AB325" s="2"/>
      <c r="AC325" s="2"/>
      <c r="AD325" s="18"/>
      <c r="AE325" s="18"/>
      <c r="AF325" s="52"/>
      <c r="AG325" s="4"/>
      <c r="AH325" s="2"/>
      <c r="AI325" s="2">
        <f t="shared" si="36"/>
        <v>8000</v>
      </c>
      <c r="AJ325" s="2">
        <f t="shared" si="37"/>
        <v>8000</v>
      </c>
      <c r="AK325" s="2">
        <f t="shared" si="38"/>
        <v>8000</v>
      </c>
      <c r="AL325" s="2">
        <f t="shared" si="42"/>
        <v>0</v>
      </c>
      <c r="AM325" s="2">
        <f t="shared" si="43"/>
        <v>0</v>
      </c>
      <c r="AN325" s="2">
        <f t="shared" si="44"/>
        <v>0</v>
      </c>
    </row>
    <row r="326" spans="1:40" ht="31.5" customHeight="1" x14ac:dyDescent="0.25">
      <c r="A326" s="55">
        <v>324</v>
      </c>
      <c r="B326" s="11" t="s">
        <v>26</v>
      </c>
      <c r="C326" s="9" t="s">
        <v>263</v>
      </c>
      <c r="D326" s="6" t="s">
        <v>296</v>
      </c>
      <c r="E326" s="1" t="s">
        <v>262</v>
      </c>
      <c r="F326" s="1" t="s">
        <v>37</v>
      </c>
      <c r="G326" s="1"/>
      <c r="H326" s="4">
        <v>10350</v>
      </c>
      <c r="I326" s="2"/>
      <c r="J326" s="2"/>
      <c r="K326" s="2"/>
      <c r="L326" s="2"/>
      <c r="M326" s="2">
        <v>10350</v>
      </c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>
        <v>10350</v>
      </c>
      <c r="Z326" s="2"/>
      <c r="AA326" s="2"/>
      <c r="AB326" s="2"/>
      <c r="AC326" s="2"/>
      <c r="AD326" s="2"/>
      <c r="AE326" s="2"/>
      <c r="AF326" s="2"/>
      <c r="AG326" s="4"/>
      <c r="AH326" s="2"/>
      <c r="AI326" s="2">
        <f t="shared" si="36"/>
        <v>10350</v>
      </c>
      <c r="AJ326" s="2">
        <f t="shared" si="37"/>
        <v>10350</v>
      </c>
      <c r="AK326" s="2">
        <f t="shared" si="38"/>
        <v>10350</v>
      </c>
      <c r="AL326" s="2">
        <f t="shared" si="42"/>
        <v>0</v>
      </c>
      <c r="AM326" s="2">
        <f t="shared" si="43"/>
        <v>0</v>
      </c>
      <c r="AN326" s="2">
        <f t="shared" si="44"/>
        <v>0</v>
      </c>
    </row>
    <row r="327" spans="1:40" ht="30.75" customHeight="1" x14ac:dyDescent="0.25">
      <c r="A327" s="55">
        <v>325</v>
      </c>
      <c r="B327" s="11" t="s">
        <v>26</v>
      </c>
      <c r="C327" s="9" t="s">
        <v>279</v>
      </c>
      <c r="D327" s="6" t="s">
        <v>297</v>
      </c>
      <c r="E327" s="1" t="s">
        <v>298</v>
      </c>
      <c r="F327" s="1" t="s">
        <v>66</v>
      </c>
      <c r="G327" s="1"/>
      <c r="H327" s="4">
        <v>3080.37</v>
      </c>
      <c r="I327" s="2"/>
      <c r="J327" s="2"/>
      <c r="K327" s="2"/>
      <c r="L327" s="2"/>
      <c r="M327" s="2">
        <v>3080.37</v>
      </c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>
        <v>3080.37</v>
      </c>
      <c r="Z327" s="2"/>
      <c r="AA327" s="2"/>
      <c r="AB327" s="2"/>
      <c r="AC327" s="2"/>
      <c r="AD327" s="2"/>
      <c r="AE327" s="2"/>
      <c r="AF327" s="2"/>
      <c r="AG327" s="4"/>
      <c r="AH327" s="2"/>
      <c r="AI327" s="2">
        <f t="shared" si="36"/>
        <v>3080.37</v>
      </c>
      <c r="AJ327" s="2">
        <f t="shared" si="37"/>
        <v>3080.37</v>
      </c>
      <c r="AK327" s="2">
        <f t="shared" si="38"/>
        <v>3080.37</v>
      </c>
      <c r="AL327" s="2">
        <f t="shared" si="42"/>
        <v>0</v>
      </c>
      <c r="AM327" s="2">
        <f t="shared" si="43"/>
        <v>0</v>
      </c>
      <c r="AN327" s="2">
        <f t="shared" si="44"/>
        <v>0</v>
      </c>
    </row>
    <row r="328" spans="1:40" ht="30.75" customHeight="1" x14ac:dyDescent="0.25">
      <c r="A328" s="55">
        <v>326</v>
      </c>
      <c r="B328" s="11" t="s">
        <v>26</v>
      </c>
      <c r="C328" s="9" t="s">
        <v>279</v>
      </c>
      <c r="D328" s="6" t="s">
        <v>299</v>
      </c>
      <c r="E328" s="1" t="s">
        <v>300</v>
      </c>
      <c r="F328" s="1" t="s">
        <v>66</v>
      </c>
      <c r="G328" s="1"/>
      <c r="H328" s="4">
        <v>2554.38</v>
      </c>
      <c r="I328" s="2"/>
      <c r="J328" s="2"/>
      <c r="K328" s="2"/>
      <c r="L328" s="2"/>
      <c r="M328" s="2">
        <v>2554.38</v>
      </c>
      <c r="N328" s="3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>
        <v>2554.38</v>
      </c>
      <c r="Z328" s="3"/>
      <c r="AA328" s="2"/>
      <c r="AB328" s="2"/>
      <c r="AC328" s="2"/>
      <c r="AD328" s="2"/>
      <c r="AE328" s="2"/>
      <c r="AF328" s="2"/>
      <c r="AG328" s="4"/>
      <c r="AH328" s="2"/>
      <c r="AI328" s="2">
        <f t="shared" ref="AI328:AI391" si="45">H328-AG328+AH328</f>
        <v>2554.38</v>
      </c>
      <c r="AJ328" s="2">
        <f t="shared" ref="AJ328:AJ391" si="46">SUM(I328:T328)</f>
        <v>2554.38</v>
      </c>
      <c r="AK328" s="2">
        <f t="shared" ref="AK328:AK391" si="47">SUM(U328:AF328)</f>
        <v>2554.38</v>
      </c>
      <c r="AL328" s="2">
        <f t="shared" si="42"/>
        <v>0</v>
      </c>
      <c r="AM328" s="2">
        <f t="shared" si="43"/>
        <v>0</v>
      </c>
      <c r="AN328" s="2">
        <f t="shared" si="44"/>
        <v>0</v>
      </c>
    </row>
    <row r="329" spans="1:40" ht="30.75" customHeight="1" x14ac:dyDescent="0.25">
      <c r="A329" s="55">
        <v>327</v>
      </c>
      <c r="B329" s="11" t="s">
        <v>26</v>
      </c>
      <c r="C329" s="9" t="s">
        <v>301</v>
      </c>
      <c r="D329" s="6" t="s">
        <v>108</v>
      </c>
      <c r="E329" s="1" t="s">
        <v>109</v>
      </c>
      <c r="F329" s="1" t="s">
        <v>36</v>
      </c>
      <c r="G329" s="1"/>
      <c r="H329" s="4">
        <v>5600</v>
      </c>
      <c r="I329" s="2"/>
      <c r="J329" s="2"/>
      <c r="K329" s="2"/>
      <c r="L329" s="2"/>
      <c r="M329" s="2">
        <v>5600</v>
      </c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>
        <v>5600</v>
      </c>
      <c r="Z329" s="2"/>
      <c r="AA329" s="2"/>
      <c r="AB329" s="2"/>
      <c r="AC329" s="2"/>
      <c r="AD329" s="2"/>
      <c r="AE329" s="2"/>
      <c r="AF329" s="2"/>
      <c r="AG329" s="4"/>
      <c r="AH329" s="2"/>
      <c r="AI329" s="2">
        <f t="shared" si="45"/>
        <v>5600</v>
      </c>
      <c r="AJ329" s="2">
        <f t="shared" si="46"/>
        <v>5600</v>
      </c>
      <c r="AK329" s="2">
        <f t="shared" si="47"/>
        <v>5600</v>
      </c>
      <c r="AL329" s="2">
        <f t="shared" si="42"/>
        <v>0</v>
      </c>
      <c r="AM329" s="2">
        <f t="shared" si="43"/>
        <v>0</v>
      </c>
      <c r="AN329" s="2">
        <f t="shared" si="44"/>
        <v>0</v>
      </c>
    </row>
    <row r="330" spans="1:40" ht="31.5" customHeight="1" x14ac:dyDescent="0.25">
      <c r="A330" s="55">
        <v>328</v>
      </c>
      <c r="B330" s="11" t="s">
        <v>26</v>
      </c>
      <c r="C330" s="10" t="s">
        <v>301</v>
      </c>
      <c r="D330" s="6" t="s">
        <v>302</v>
      </c>
      <c r="E330" s="1" t="s">
        <v>303</v>
      </c>
      <c r="F330" s="1" t="s">
        <v>36</v>
      </c>
      <c r="G330" s="1"/>
      <c r="H330" s="4">
        <v>500</v>
      </c>
      <c r="I330" s="2"/>
      <c r="J330" s="2"/>
      <c r="K330" s="2"/>
      <c r="L330" s="2"/>
      <c r="M330" s="2">
        <v>500</v>
      </c>
      <c r="N330" s="2"/>
      <c r="O330" s="2"/>
      <c r="P330" s="2"/>
      <c r="Q330" s="2"/>
      <c r="R330" s="2"/>
      <c r="S330" s="52"/>
      <c r="T330" s="2"/>
      <c r="U330" s="2"/>
      <c r="V330" s="2"/>
      <c r="W330" s="2"/>
      <c r="X330" s="2"/>
      <c r="Y330" s="2">
        <v>500</v>
      </c>
      <c r="Z330" s="2"/>
      <c r="AA330" s="2"/>
      <c r="AB330" s="2"/>
      <c r="AC330" s="2"/>
      <c r="AD330" s="2"/>
      <c r="AE330" s="52"/>
      <c r="AF330" s="2"/>
      <c r="AG330" s="4"/>
      <c r="AH330" s="2"/>
      <c r="AI330" s="2">
        <f t="shared" si="45"/>
        <v>500</v>
      </c>
      <c r="AJ330" s="2">
        <f t="shared" si="46"/>
        <v>500</v>
      </c>
      <c r="AK330" s="2">
        <f t="shared" si="47"/>
        <v>500</v>
      </c>
      <c r="AL330" s="2">
        <f t="shared" si="42"/>
        <v>0</v>
      </c>
      <c r="AM330" s="2">
        <f t="shared" si="43"/>
        <v>0</v>
      </c>
      <c r="AN330" s="2">
        <f t="shared" si="44"/>
        <v>0</v>
      </c>
    </row>
    <row r="331" spans="1:40" ht="29.25" customHeight="1" x14ac:dyDescent="0.25">
      <c r="A331" s="55">
        <v>329</v>
      </c>
      <c r="B331" s="11" t="s">
        <v>26</v>
      </c>
      <c r="C331" s="9" t="s">
        <v>301</v>
      </c>
      <c r="D331" s="6" t="s">
        <v>304</v>
      </c>
      <c r="E331" s="1" t="s">
        <v>305</v>
      </c>
      <c r="F331" s="1" t="s">
        <v>36</v>
      </c>
      <c r="G331" s="1"/>
      <c r="H331" s="4">
        <v>900</v>
      </c>
      <c r="I331" s="2"/>
      <c r="J331" s="2"/>
      <c r="K331" s="2"/>
      <c r="L331" s="2"/>
      <c r="M331" s="2">
        <v>900</v>
      </c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>
        <v>900</v>
      </c>
      <c r="Z331" s="2"/>
      <c r="AA331" s="2"/>
      <c r="AB331" s="2"/>
      <c r="AC331" s="2"/>
      <c r="AD331" s="2"/>
      <c r="AE331" s="2"/>
      <c r="AF331" s="2"/>
      <c r="AG331" s="52"/>
      <c r="AH331" s="2"/>
      <c r="AI331" s="2">
        <f t="shared" si="45"/>
        <v>900</v>
      </c>
      <c r="AJ331" s="2">
        <f t="shared" si="46"/>
        <v>900</v>
      </c>
      <c r="AK331" s="2">
        <f t="shared" si="47"/>
        <v>900</v>
      </c>
      <c r="AL331" s="2">
        <f t="shared" si="42"/>
        <v>0</v>
      </c>
      <c r="AM331" s="2">
        <f t="shared" si="43"/>
        <v>0</v>
      </c>
      <c r="AN331" s="2">
        <f t="shared" si="44"/>
        <v>0</v>
      </c>
    </row>
    <row r="332" spans="1:40" ht="30.75" customHeight="1" x14ac:dyDescent="0.25">
      <c r="A332" s="55">
        <v>330</v>
      </c>
      <c r="B332" s="11" t="s">
        <v>26</v>
      </c>
      <c r="C332" s="49" t="s">
        <v>301</v>
      </c>
      <c r="D332" s="6" t="s">
        <v>92</v>
      </c>
      <c r="E332" s="1" t="s">
        <v>93</v>
      </c>
      <c r="F332" s="1" t="s">
        <v>36</v>
      </c>
      <c r="G332" s="1"/>
      <c r="H332" s="4">
        <v>16500</v>
      </c>
      <c r="I332" s="2"/>
      <c r="J332" s="2"/>
      <c r="K332" s="2"/>
      <c r="L332" s="2"/>
      <c r="M332" s="2">
        <v>16500</v>
      </c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>
        <v>16500</v>
      </c>
      <c r="Z332" s="2"/>
      <c r="AA332" s="2"/>
      <c r="AB332" s="2"/>
      <c r="AC332" s="2"/>
      <c r="AD332" s="2"/>
      <c r="AE332" s="2"/>
      <c r="AF332" s="2"/>
      <c r="AG332" s="4"/>
      <c r="AH332" s="2"/>
      <c r="AI332" s="2">
        <f t="shared" si="45"/>
        <v>16500</v>
      </c>
      <c r="AJ332" s="2">
        <f t="shared" si="46"/>
        <v>16500</v>
      </c>
      <c r="AK332" s="2">
        <f t="shared" si="47"/>
        <v>16500</v>
      </c>
      <c r="AL332" s="2">
        <f t="shared" si="42"/>
        <v>0</v>
      </c>
      <c r="AM332" s="2">
        <f t="shared" si="43"/>
        <v>0</v>
      </c>
      <c r="AN332" s="2">
        <f t="shared" si="44"/>
        <v>0</v>
      </c>
    </row>
    <row r="333" spans="1:40" ht="32.25" customHeight="1" x14ac:dyDescent="0.25">
      <c r="A333" s="55">
        <v>331</v>
      </c>
      <c r="B333" s="11" t="s">
        <v>26</v>
      </c>
      <c r="C333" s="9" t="s">
        <v>301</v>
      </c>
      <c r="D333" s="6" t="s">
        <v>288</v>
      </c>
      <c r="E333" s="1" t="s">
        <v>289</v>
      </c>
      <c r="F333" s="1" t="s">
        <v>36</v>
      </c>
      <c r="G333" s="1"/>
      <c r="H333" s="4">
        <v>500</v>
      </c>
      <c r="I333" s="2"/>
      <c r="J333" s="2"/>
      <c r="K333" s="2"/>
      <c r="L333" s="2"/>
      <c r="M333" s="2">
        <v>500</v>
      </c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>
        <v>500</v>
      </c>
      <c r="Z333" s="2"/>
      <c r="AA333" s="2"/>
      <c r="AB333" s="2"/>
      <c r="AC333" s="2"/>
      <c r="AD333" s="2"/>
      <c r="AE333" s="2"/>
      <c r="AF333" s="2"/>
      <c r="AG333" s="4"/>
      <c r="AH333" s="2"/>
      <c r="AI333" s="2">
        <f t="shared" si="45"/>
        <v>500</v>
      </c>
      <c r="AJ333" s="2">
        <f t="shared" si="46"/>
        <v>500</v>
      </c>
      <c r="AK333" s="2">
        <f t="shared" si="47"/>
        <v>500</v>
      </c>
      <c r="AL333" s="2">
        <f t="shared" si="42"/>
        <v>0</v>
      </c>
      <c r="AM333" s="2">
        <f t="shared" si="43"/>
        <v>0</v>
      </c>
      <c r="AN333" s="2">
        <f t="shared" si="44"/>
        <v>0</v>
      </c>
    </row>
    <row r="334" spans="1:40" ht="32.25" customHeight="1" x14ac:dyDescent="0.25">
      <c r="A334" s="55">
        <v>332</v>
      </c>
      <c r="B334" s="11" t="s">
        <v>26</v>
      </c>
      <c r="C334" s="28" t="s">
        <v>301</v>
      </c>
      <c r="D334" s="6" t="s">
        <v>306</v>
      </c>
      <c r="E334" s="1" t="s">
        <v>307</v>
      </c>
      <c r="F334" s="1" t="s">
        <v>36</v>
      </c>
      <c r="G334" s="1"/>
      <c r="H334" s="4">
        <v>1400</v>
      </c>
      <c r="I334" s="2"/>
      <c r="J334" s="2"/>
      <c r="K334" s="2"/>
      <c r="L334" s="2"/>
      <c r="M334" s="2">
        <v>1400</v>
      </c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>
        <v>1400</v>
      </c>
      <c r="Z334" s="2"/>
      <c r="AA334" s="2"/>
      <c r="AB334" s="2"/>
      <c r="AC334" s="2"/>
      <c r="AD334" s="2"/>
      <c r="AE334" s="2"/>
      <c r="AF334" s="2"/>
      <c r="AG334" s="4"/>
      <c r="AH334" s="2"/>
      <c r="AI334" s="2">
        <f t="shared" si="45"/>
        <v>1400</v>
      </c>
      <c r="AJ334" s="2">
        <f t="shared" si="46"/>
        <v>1400</v>
      </c>
      <c r="AK334" s="2">
        <f t="shared" si="47"/>
        <v>1400</v>
      </c>
      <c r="AL334" s="2">
        <f t="shared" si="42"/>
        <v>0</v>
      </c>
      <c r="AM334" s="2">
        <f t="shared" si="43"/>
        <v>0</v>
      </c>
      <c r="AN334" s="2">
        <f t="shared" si="44"/>
        <v>0</v>
      </c>
    </row>
    <row r="335" spans="1:40" ht="32.25" customHeight="1" x14ac:dyDescent="0.25">
      <c r="A335" s="55">
        <v>342</v>
      </c>
      <c r="B335" s="11" t="s">
        <v>56</v>
      </c>
      <c r="C335" s="9" t="s">
        <v>79</v>
      </c>
      <c r="D335" s="6" t="s">
        <v>245</v>
      </c>
      <c r="E335" s="1" t="s">
        <v>246</v>
      </c>
      <c r="F335" s="1" t="s">
        <v>36</v>
      </c>
      <c r="G335" s="1"/>
      <c r="H335" s="4">
        <v>50000</v>
      </c>
      <c r="I335" s="2"/>
      <c r="J335" s="2"/>
      <c r="K335" s="2"/>
      <c r="L335" s="2"/>
      <c r="M335" s="2">
        <f>25000+25000</f>
        <v>50000</v>
      </c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>
        <f>25000+25000</f>
        <v>50000</v>
      </c>
      <c r="Z335" s="2"/>
      <c r="AA335" s="2"/>
      <c r="AB335" s="2"/>
      <c r="AC335" s="2"/>
      <c r="AD335" s="2"/>
      <c r="AE335" s="2"/>
      <c r="AF335" s="2"/>
      <c r="AG335" s="4"/>
      <c r="AH335" s="2"/>
      <c r="AI335" s="2">
        <f t="shared" si="45"/>
        <v>50000</v>
      </c>
      <c r="AJ335" s="2">
        <f t="shared" si="46"/>
        <v>50000</v>
      </c>
      <c r="AK335" s="2">
        <f t="shared" si="47"/>
        <v>50000</v>
      </c>
      <c r="AL335" s="2">
        <f t="shared" si="42"/>
        <v>0</v>
      </c>
      <c r="AM335" s="2">
        <f t="shared" si="43"/>
        <v>0</v>
      </c>
      <c r="AN335" s="2">
        <f t="shared" si="44"/>
        <v>0</v>
      </c>
    </row>
    <row r="336" spans="1:40" ht="33" customHeight="1" x14ac:dyDescent="0.25">
      <c r="A336" s="55">
        <v>343</v>
      </c>
      <c r="B336" s="11" t="s">
        <v>26</v>
      </c>
      <c r="C336" s="28" t="s">
        <v>279</v>
      </c>
      <c r="D336" s="6" t="s">
        <v>308</v>
      </c>
      <c r="E336" s="1" t="s">
        <v>309</v>
      </c>
      <c r="F336" s="1" t="s">
        <v>66</v>
      </c>
      <c r="G336" s="1"/>
      <c r="H336" s="4">
        <v>3232.14</v>
      </c>
      <c r="I336" s="2"/>
      <c r="J336" s="2"/>
      <c r="K336" s="2"/>
      <c r="L336" s="2"/>
      <c r="M336" s="2">
        <v>3232.14</v>
      </c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>
        <v>3232.14</v>
      </c>
      <c r="Z336" s="2"/>
      <c r="AA336" s="2"/>
      <c r="AB336" s="2"/>
      <c r="AC336" s="2"/>
      <c r="AD336" s="2"/>
      <c r="AE336" s="2"/>
      <c r="AF336" s="2"/>
      <c r="AG336" s="4"/>
      <c r="AH336" s="2"/>
      <c r="AI336" s="2">
        <f t="shared" si="45"/>
        <v>3232.14</v>
      </c>
      <c r="AJ336" s="2">
        <f t="shared" si="46"/>
        <v>3232.14</v>
      </c>
      <c r="AK336" s="2">
        <f t="shared" si="47"/>
        <v>3232.14</v>
      </c>
      <c r="AL336" s="2">
        <f t="shared" si="42"/>
        <v>0</v>
      </c>
      <c r="AM336" s="2">
        <f t="shared" si="43"/>
        <v>0</v>
      </c>
      <c r="AN336" s="2">
        <f t="shared" si="44"/>
        <v>0</v>
      </c>
    </row>
    <row r="337" spans="1:40" ht="31.5" customHeight="1" x14ac:dyDescent="0.25">
      <c r="A337" s="55">
        <v>344</v>
      </c>
      <c r="B337" s="11" t="s">
        <v>56</v>
      </c>
      <c r="C337" s="9" t="s">
        <v>59</v>
      </c>
      <c r="D337" s="6" t="s">
        <v>311</v>
      </c>
      <c r="E337" s="1" t="s">
        <v>310</v>
      </c>
      <c r="F337" s="1" t="s">
        <v>36</v>
      </c>
      <c r="G337" s="1"/>
      <c r="H337" s="4">
        <v>45200</v>
      </c>
      <c r="I337" s="2"/>
      <c r="J337" s="2"/>
      <c r="K337" s="2"/>
      <c r="L337" s="2"/>
      <c r="M337" s="2">
        <v>45200</v>
      </c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>
        <v>45200</v>
      </c>
      <c r="Z337" s="2"/>
      <c r="AA337" s="2"/>
      <c r="AB337" s="2"/>
      <c r="AC337" s="2"/>
      <c r="AD337" s="2"/>
      <c r="AE337" s="2"/>
      <c r="AF337" s="2"/>
      <c r="AG337" s="4"/>
      <c r="AH337" s="2"/>
      <c r="AI337" s="2">
        <f t="shared" si="45"/>
        <v>45200</v>
      </c>
      <c r="AJ337" s="2">
        <f t="shared" si="46"/>
        <v>45200</v>
      </c>
      <c r="AK337" s="2">
        <f t="shared" si="47"/>
        <v>45200</v>
      </c>
      <c r="AL337" s="2">
        <f t="shared" si="42"/>
        <v>0</v>
      </c>
      <c r="AM337" s="2">
        <f t="shared" si="43"/>
        <v>0</v>
      </c>
      <c r="AN337" s="2">
        <f t="shared" si="44"/>
        <v>0</v>
      </c>
    </row>
    <row r="338" spans="1:40" ht="30" customHeight="1" x14ac:dyDescent="0.25">
      <c r="A338" s="55">
        <v>346</v>
      </c>
      <c r="B338" s="11" t="s">
        <v>56</v>
      </c>
      <c r="C338" s="9" t="s">
        <v>59</v>
      </c>
      <c r="D338" s="6" t="s">
        <v>312</v>
      </c>
      <c r="E338" s="1" t="s">
        <v>313</v>
      </c>
      <c r="F338" s="1" t="s">
        <v>36</v>
      </c>
      <c r="G338" s="1"/>
      <c r="H338" s="4">
        <v>37500</v>
      </c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2"/>
      <c r="AD338" s="2"/>
      <c r="AE338" s="2"/>
      <c r="AF338" s="2"/>
      <c r="AG338" s="4"/>
      <c r="AH338" s="2"/>
      <c r="AI338" s="2">
        <f t="shared" si="45"/>
        <v>37500</v>
      </c>
      <c r="AJ338" s="2">
        <f t="shared" si="46"/>
        <v>0</v>
      </c>
      <c r="AK338" s="2">
        <f t="shared" si="47"/>
        <v>0</v>
      </c>
      <c r="AL338" s="2">
        <f t="shared" si="42"/>
        <v>37500</v>
      </c>
      <c r="AM338" s="2">
        <f t="shared" si="43"/>
        <v>0</v>
      </c>
      <c r="AN338" s="2">
        <f t="shared" si="44"/>
        <v>37500</v>
      </c>
    </row>
    <row r="339" spans="1:40" ht="30" customHeight="1" x14ac:dyDescent="0.25">
      <c r="A339" s="55">
        <v>350</v>
      </c>
      <c r="B339" s="11" t="s">
        <v>26</v>
      </c>
      <c r="C339" s="45" t="s">
        <v>125</v>
      </c>
      <c r="D339" s="6" t="s">
        <v>123</v>
      </c>
      <c r="E339" s="1" t="s">
        <v>124</v>
      </c>
      <c r="F339" s="1" t="s">
        <v>37</v>
      </c>
      <c r="G339" s="1"/>
      <c r="H339" s="4">
        <v>1200</v>
      </c>
      <c r="I339" s="2"/>
      <c r="J339" s="2"/>
      <c r="K339" s="2"/>
      <c r="L339" s="2"/>
      <c r="M339" s="2">
        <v>1200</v>
      </c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>
        <v>1200</v>
      </c>
      <c r="Z339" s="2"/>
      <c r="AA339" s="2"/>
      <c r="AB339" s="18"/>
      <c r="AC339" s="15"/>
      <c r="AD339" s="2"/>
      <c r="AE339" s="2"/>
      <c r="AF339" s="2"/>
      <c r="AG339" s="4"/>
      <c r="AH339" s="2"/>
      <c r="AI339" s="2">
        <f t="shared" si="45"/>
        <v>1200</v>
      </c>
      <c r="AJ339" s="2">
        <f t="shared" si="46"/>
        <v>1200</v>
      </c>
      <c r="AK339" s="2">
        <f t="shared" si="47"/>
        <v>1200</v>
      </c>
      <c r="AL339" s="2">
        <f t="shared" si="42"/>
        <v>0</v>
      </c>
      <c r="AM339" s="2">
        <f t="shared" si="43"/>
        <v>0</v>
      </c>
      <c r="AN339" s="2">
        <f t="shared" si="44"/>
        <v>0</v>
      </c>
    </row>
    <row r="340" spans="1:40" ht="30" customHeight="1" x14ac:dyDescent="0.25">
      <c r="A340" s="55">
        <v>352</v>
      </c>
      <c r="B340" s="11" t="s">
        <v>26</v>
      </c>
      <c r="C340" s="28" t="s">
        <v>114</v>
      </c>
      <c r="D340" s="9" t="s">
        <v>115</v>
      </c>
      <c r="E340" s="1" t="s">
        <v>116</v>
      </c>
      <c r="F340" s="1" t="s">
        <v>36</v>
      </c>
      <c r="G340" s="1"/>
      <c r="H340" s="4">
        <v>50</v>
      </c>
      <c r="I340" s="2"/>
      <c r="J340" s="2"/>
      <c r="K340" s="2"/>
      <c r="L340" s="2"/>
      <c r="M340" s="2">
        <v>50</v>
      </c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>
        <v>50</v>
      </c>
      <c r="Z340" s="2"/>
      <c r="AA340" s="2"/>
      <c r="AB340" s="2"/>
      <c r="AC340" s="2"/>
      <c r="AD340" s="2"/>
      <c r="AE340" s="2"/>
      <c r="AF340" s="2"/>
      <c r="AG340" s="4"/>
      <c r="AH340" s="2"/>
      <c r="AI340" s="2">
        <f t="shared" si="45"/>
        <v>50</v>
      </c>
      <c r="AJ340" s="2">
        <f t="shared" si="46"/>
        <v>50</v>
      </c>
      <c r="AK340" s="2">
        <f t="shared" si="47"/>
        <v>50</v>
      </c>
      <c r="AL340" s="2">
        <f t="shared" si="42"/>
        <v>0</v>
      </c>
      <c r="AM340" s="2">
        <f t="shared" si="43"/>
        <v>0</v>
      </c>
      <c r="AN340" s="2">
        <f t="shared" si="44"/>
        <v>0</v>
      </c>
    </row>
    <row r="341" spans="1:40" ht="30" customHeight="1" x14ac:dyDescent="0.25">
      <c r="A341" s="55">
        <v>354</v>
      </c>
      <c r="B341" s="11" t="s">
        <v>26</v>
      </c>
      <c r="C341" s="9" t="s">
        <v>94</v>
      </c>
      <c r="D341" s="6" t="s">
        <v>286</v>
      </c>
      <c r="E341" s="1" t="s">
        <v>287</v>
      </c>
      <c r="F341" s="1" t="s">
        <v>36</v>
      </c>
      <c r="G341" s="1"/>
      <c r="H341" s="4">
        <v>1200</v>
      </c>
      <c r="I341" s="2"/>
      <c r="J341" s="2"/>
      <c r="K341" s="2"/>
      <c r="L341" s="2"/>
      <c r="M341" s="2">
        <v>1200</v>
      </c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>
        <v>1200</v>
      </c>
      <c r="Z341" s="2"/>
      <c r="AA341" s="2"/>
      <c r="AB341" s="2"/>
      <c r="AC341" s="2"/>
      <c r="AD341" s="2"/>
      <c r="AE341" s="2"/>
      <c r="AF341" s="2"/>
      <c r="AG341" s="4"/>
      <c r="AH341" s="2"/>
      <c r="AI341" s="2">
        <f t="shared" si="45"/>
        <v>1200</v>
      </c>
      <c r="AJ341" s="2">
        <f t="shared" si="46"/>
        <v>1200</v>
      </c>
      <c r="AK341" s="2">
        <f t="shared" si="47"/>
        <v>1200</v>
      </c>
      <c r="AL341" s="2">
        <f t="shared" si="42"/>
        <v>0</v>
      </c>
      <c r="AM341" s="2">
        <f t="shared" si="43"/>
        <v>0</v>
      </c>
      <c r="AN341" s="2">
        <f t="shared" si="44"/>
        <v>0</v>
      </c>
    </row>
    <row r="342" spans="1:40" ht="30.75" customHeight="1" x14ac:dyDescent="0.25">
      <c r="A342" s="55">
        <v>355</v>
      </c>
      <c r="B342" s="11" t="s">
        <v>26</v>
      </c>
      <c r="C342" s="9" t="s">
        <v>94</v>
      </c>
      <c r="D342" s="6" t="s">
        <v>286</v>
      </c>
      <c r="E342" s="1" t="s">
        <v>287</v>
      </c>
      <c r="F342" s="1" t="s">
        <v>36</v>
      </c>
      <c r="G342" s="1"/>
      <c r="H342" s="4">
        <v>1200</v>
      </c>
      <c r="I342" s="2"/>
      <c r="J342" s="2"/>
      <c r="K342" s="2"/>
      <c r="L342" s="2"/>
      <c r="M342" s="2">
        <v>1200</v>
      </c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>
        <v>1200</v>
      </c>
      <c r="Z342" s="2"/>
      <c r="AA342" s="2"/>
      <c r="AB342" s="2"/>
      <c r="AC342" s="2"/>
      <c r="AD342" s="2"/>
      <c r="AE342" s="2"/>
      <c r="AF342" s="2"/>
      <c r="AG342" s="4"/>
      <c r="AH342" s="2"/>
      <c r="AI342" s="2">
        <f t="shared" si="45"/>
        <v>1200</v>
      </c>
      <c r="AJ342" s="2">
        <f t="shared" si="46"/>
        <v>1200</v>
      </c>
      <c r="AK342" s="2">
        <f t="shared" si="47"/>
        <v>1200</v>
      </c>
      <c r="AL342" s="2">
        <f t="shared" si="42"/>
        <v>0</v>
      </c>
      <c r="AM342" s="2">
        <f t="shared" si="43"/>
        <v>0</v>
      </c>
      <c r="AN342" s="2">
        <f t="shared" si="44"/>
        <v>0</v>
      </c>
    </row>
    <row r="343" spans="1:40" ht="30.75" customHeight="1" x14ac:dyDescent="0.25">
      <c r="A343" s="55">
        <v>356</v>
      </c>
      <c r="B343" s="11" t="s">
        <v>56</v>
      </c>
      <c r="C343" s="9" t="s">
        <v>314</v>
      </c>
      <c r="D343" s="6" t="s">
        <v>248</v>
      </c>
      <c r="E343" s="1"/>
      <c r="F343" s="1" t="s">
        <v>37</v>
      </c>
      <c r="G343" s="1"/>
      <c r="H343" s="4">
        <v>10000</v>
      </c>
      <c r="I343" s="2"/>
      <c r="J343" s="2"/>
      <c r="K343" s="2"/>
      <c r="L343" s="2"/>
      <c r="M343" s="2">
        <v>8345.19</v>
      </c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>
        <v>8345.19</v>
      </c>
      <c r="Z343" s="2"/>
      <c r="AA343" s="2"/>
      <c r="AB343" s="2"/>
      <c r="AC343" s="2"/>
      <c r="AD343" s="2"/>
      <c r="AE343" s="2"/>
      <c r="AF343" s="2"/>
      <c r="AG343" s="4">
        <v>9999</v>
      </c>
      <c r="AH343" s="2">
        <v>8345.19</v>
      </c>
      <c r="AI343" s="2">
        <f t="shared" si="45"/>
        <v>8346.19</v>
      </c>
      <c r="AJ343" s="2">
        <f t="shared" si="46"/>
        <v>8345.19</v>
      </c>
      <c r="AK343" s="2">
        <f t="shared" si="47"/>
        <v>8345.19</v>
      </c>
      <c r="AL343" s="2">
        <f t="shared" si="42"/>
        <v>1</v>
      </c>
      <c r="AM343" s="2">
        <f t="shared" si="43"/>
        <v>0</v>
      </c>
      <c r="AN343" s="2">
        <f t="shared" si="44"/>
        <v>1</v>
      </c>
    </row>
    <row r="344" spans="1:40" ht="31.5" customHeight="1" x14ac:dyDescent="0.25">
      <c r="A344" s="55">
        <v>361</v>
      </c>
      <c r="B344" s="11" t="s">
        <v>56</v>
      </c>
      <c r="C344" s="9" t="s">
        <v>80</v>
      </c>
      <c r="D344" s="6" t="s">
        <v>315</v>
      </c>
      <c r="E344" s="1" t="s">
        <v>316</v>
      </c>
      <c r="F344" s="1" t="s">
        <v>37</v>
      </c>
      <c r="G344" s="1"/>
      <c r="H344" s="4">
        <v>16000</v>
      </c>
      <c r="I344" s="2"/>
      <c r="J344" s="2"/>
      <c r="K344" s="2"/>
      <c r="L344" s="2"/>
      <c r="M344" s="2">
        <v>16000</v>
      </c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>
        <v>16000</v>
      </c>
      <c r="Z344" s="2"/>
      <c r="AA344" s="2"/>
      <c r="AB344" s="2"/>
      <c r="AC344" s="2"/>
      <c r="AD344" s="2"/>
      <c r="AE344" s="2"/>
      <c r="AF344" s="2"/>
      <c r="AG344" s="4"/>
      <c r="AH344" s="2"/>
      <c r="AI344" s="2">
        <f t="shared" si="45"/>
        <v>16000</v>
      </c>
      <c r="AJ344" s="2">
        <f t="shared" si="46"/>
        <v>16000</v>
      </c>
      <c r="AK344" s="2">
        <f t="shared" si="47"/>
        <v>16000</v>
      </c>
      <c r="AL344" s="2">
        <f t="shared" si="42"/>
        <v>0</v>
      </c>
      <c r="AM344" s="2">
        <f t="shared" si="43"/>
        <v>0</v>
      </c>
      <c r="AN344" s="2">
        <f t="shared" si="44"/>
        <v>0</v>
      </c>
    </row>
    <row r="345" spans="1:40" ht="30.75" customHeight="1" x14ac:dyDescent="0.25">
      <c r="A345" s="55">
        <v>363</v>
      </c>
      <c r="B345" s="11" t="s">
        <v>56</v>
      </c>
      <c r="C345" s="9" t="s">
        <v>295</v>
      </c>
      <c r="D345" s="6" t="s">
        <v>293</v>
      </c>
      <c r="E345" s="1" t="s">
        <v>294</v>
      </c>
      <c r="F345" s="1" t="s">
        <v>36</v>
      </c>
      <c r="G345" s="1"/>
      <c r="H345" s="4">
        <v>12800</v>
      </c>
      <c r="I345" s="2"/>
      <c r="J345" s="2"/>
      <c r="K345" s="2"/>
      <c r="L345" s="2"/>
      <c r="M345" s="2">
        <v>12800</v>
      </c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>
        <f>11200+192+1408</f>
        <v>12800</v>
      </c>
      <c r="Z345" s="2"/>
      <c r="AA345" s="2"/>
      <c r="AB345" s="2"/>
      <c r="AC345" s="2"/>
      <c r="AD345" s="2"/>
      <c r="AE345" s="2"/>
      <c r="AF345" s="2"/>
      <c r="AG345" s="4"/>
      <c r="AH345" s="2"/>
      <c r="AI345" s="2">
        <f t="shared" si="45"/>
        <v>12800</v>
      </c>
      <c r="AJ345" s="2">
        <f t="shared" si="46"/>
        <v>12800</v>
      </c>
      <c r="AK345" s="2">
        <f t="shared" si="47"/>
        <v>12800</v>
      </c>
      <c r="AL345" s="2">
        <f t="shared" si="42"/>
        <v>0</v>
      </c>
      <c r="AM345" s="2">
        <f t="shared" si="43"/>
        <v>0</v>
      </c>
      <c r="AN345" s="2">
        <f t="shared" si="44"/>
        <v>0</v>
      </c>
    </row>
    <row r="346" spans="1:40" ht="31.5" customHeight="1" x14ac:dyDescent="0.25">
      <c r="A346" s="55">
        <v>364</v>
      </c>
      <c r="B346" s="11" t="s">
        <v>26</v>
      </c>
      <c r="C346" s="9" t="s">
        <v>42</v>
      </c>
      <c r="D346" s="6" t="s">
        <v>317</v>
      </c>
      <c r="E346" s="1" t="s">
        <v>318</v>
      </c>
      <c r="F346" s="1" t="s">
        <v>66</v>
      </c>
      <c r="G346" s="1"/>
      <c r="H346" s="4">
        <v>4019.96</v>
      </c>
      <c r="I346" s="2"/>
      <c r="J346" s="2"/>
      <c r="K346" s="2"/>
      <c r="L346" s="2"/>
      <c r="M346" s="2">
        <v>4019.96</v>
      </c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>
        <v>4019.96</v>
      </c>
      <c r="Z346" s="2"/>
      <c r="AA346" s="2"/>
      <c r="AB346" s="2"/>
      <c r="AC346" s="2"/>
      <c r="AD346" s="2"/>
      <c r="AE346" s="2"/>
      <c r="AF346" s="2"/>
      <c r="AG346" s="4"/>
      <c r="AH346" s="2"/>
      <c r="AI346" s="2">
        <f t="shared" si="45"/>
        <v>4019.96</v>
      </c>
      <c r="AJ346" s="2">
        <f t="shared" si="46"/>
        <v>4019.96</v>
      </c>
      <c r="AK346" s="2">
        <f t="shared" si="47"/>
        <v>4019.96</v>
      </c>
      <c r="AL346" s="2">
        <f t="shared" si="42"/>
        <v>0</v>
      </c>
      <c r="AM346" s="2">
        <f t="shared" si="43"/>
        <v>0</v>
      </c>
      <c r="AN346" s="2">
        <f t="shared" si="44"/>
        <v>0</v>
      </c>
    </row>
    <row r="347" spans="1:40" ht="30.75" customHeight="1" x14ac:dyDescent="0.25">
      <c r="A347" s="55">
        <v>371</v>
      </c>
      <c r="B347" s="11" t="s">
        <v>26</v>
      </c>
      <c r="C347" s="9" t="s">
        <v>251</v>
      </c>
      <c r="D347" s="6" t="s">
        <v>319</v>
      </c>
      <c r="E347" s="1" t="s">
        <v>250</v>
      </c>
      <c r="F347" s="1" t="s">
        <v>36</v>
      </c>
      <c r="G347" s="1"/>
      <c r="H347" s="4">
        <v>16060</v>
      </c>
      <c r="I347" s="2"/>
      <c r="J347" s="2"/>
      <c r="K347" s="2"/>
      <c r="L347" s="2"/>
      <c r="M347" s="2">
        <v>16060</v>
      </c>
      <c r="N347" s="2"/>
      <c r="O347" s="2"/>
      <c r="P347" s="2"/>
      <c r="Q347" s="4"/>
      <c r="R347" s="2"/>
      <c r="S347" s="2"/>
      <c r="T347" s="2"/>
      <c r="U347" s="2"/>
      <c r="V347" s="2"/>
      <c r="W347" s="2"/>
      <c r="X347" s="2"/>
      <c r="Y347" s="2">
        <v>16060</v>
      </c>
      <c r="Z347" s="2"/>
      <c r="AA347" s="2"/>
      <c r="AB347" s="2"/>
      <c r="AC347" s="4"/>
      <c r="AD347" s="2"/>
      <c r="AE347" s="2"/>
      <c r="AF347" s="2"/>
      <c r="AG347" s="4"/>
      <c r="AH347" s="2"/>
      <c r="AI347" s="2">
        <f t="shared" si="45"/>
        <v>16060</v>
      </c>
      <c r="AJ347" s="2">
        <f t="shared" si="46"/>
        <v>16060</v>
      </c>
      <c r="AK347" s="2">
        <f t="shared" si="47"/>
        <v>16060</v>
      </c>
      <c r="AL347" s="2">
        <f t="shared" si="42"/>
        <v>0</v>
      </c>
      <c r="AM347" s="2">
        <f t="shared" si="43"/>
        <v>0</v>
      </c>
      <c r="AN347" s="2">
        <f t="shared" si="44"/>
        <v>0</v>
      </c>
    </row>
    <row r="348" spans="1:40" ht="30.75" customHeight="1" x14ac:dyDescent="0.25">
      <c r="A348" s="55">
        <v>373</v>
      </c>
      <c r="B348" s="11" t="s">
        <v>26</v>
      </c>
      <c r="C348" s="9" t="s">
        <v>192</v>
      </c>
      <c r="D348" s="6" t="s">
        <v>190</v>
      </c>
      <c r="E348" s="1" t="s">
        <v>191</v>
      </c>
      <c r="F348" s="1" t="s">
        <v>36</v>
      </c>
      <c r="G348" s="1"/>
      <c r="H348" s="4">
        <v>8700</v>
      </c>
      <c r="I348" s="2"/>
      <c r="J348" s="2"/>
      <c r="K348" s="2"/>
      <c r="L348" s="2"/>
      <c r="M348" s="2">
        <v>8643.1200000000008</v>
      </c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>
        <v>8700</v>
      </c>
      <c r="Z348" s="2"/>
      <c r="AA348" s="2">
        <v>-56.88</v>
      </c>
      <c r="AB348" s="2"/>
      <c r="AC348" s="2"/>
      <c r="AD348" s="2"/>
      <c r="AE348" s="2"/>
      <c r="AF348" s="2"/>
      <c r="AG348" s="4">
        <v>56.88</v>
      </c>
      <c r="AH348" s="2"/>
      <c r="AI348" s="2">
        <f t="shared" si="45"/>
        <v>8643.1200000000008</v>
      </c>
      <c r="AJ348" s="2">
        <f t="shared" si="46"/>
        <v>8643.1200000000008</v>
      </c>
      <c r="AK348" s="2">
        <f t="shared" si="47"/>
        <v>8643.1200000000008</v>
      </c>
      <c r="AL348" s="2">
        <f t="shared" si="42"/>
        <v>0</v>
      </c>
      <c r="AM348" s="2">
        <f t="shared" si="43"/>
        <v>0</v>
      </c>
      <c r="AN348" s="2">
        <f t="shared" si="44"/>
        <v>0</v>
      </c>
    </row>
    <row r="349" spans="1:40" ht="31.5" customHeight="1" x14ac:dyDescent="0.25">
      <c r="A349" s="55">
        <v>374</v>
      </c>
      <c r="B349" s="11" t="s">
        <v>26</v>
      </c>
      <c r="C349" s="9" t="s">
        <v>192</v>
      </c>
      <c r="D349" s="6" t="s">
        <v>320</v>
      </c>
      <c r="E349" s="1" t="s">
        <v>321</v>
      </c>
      <c r="F349" s="1" t="s">
        <v>36</v>
      </c>
      <c r="G349" s="1"/>
      <c r="H349" s="4">
        <v>8700</v>
      </c>
      <c r="I349" s="2"/>
      <c r="J349" s="2"/>
      <c r="K349" s="2"/>
      <c r="L349" s="2"/>
      <c r="M349" s="2">
        <v>8700</v>
      </c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>
        <v>8700</v>
      </c>
      <c r="Z349" s="2"/>
      <c r="AA349" s="2"/>
      <c r="AB349" s="2"/>
      <c r="AC349" s="2"/>
      <c r="AD349" s="2"/>
      <c r="AE349" s="2"/>
      <c r="AF349" s="2"/>
      <c r="AG349" s="4"/>
      <c r="AH349" s="2"/>
      <c r="AI349" s="2">
        <f t="shared" si="45"/>
        <v>8700</v>
      </c>
      <c r="AJ349" s="2">
        <f t="shared" si="46"/>
        <v>8700</v>
      </c>
      <c r="AK349" s="2">
        <f t="shared" si="47"/>
        <v>8700</v>
      </c>
      <c r="AL349" s="2">
        <f t="shared" si="42"/>
        <v>0</v>
      </c>
      <c r="AM349" s="2">
        <f t="shared" si="43"/>
        <v>0</v>
      </c>
      <c r="AN349" s="2">
        <f t="shared" si="44"/>
        <v>0</v>
      </c>
    </row>
    <row r="350" spans="1:40" ht="30.75" customHeight="1" x14ac:dyDescent="0.25">
      <c r="A350" s="55">
        <v>385</v>
      </c>
      <c r="B350" s="11" t="s">
        <v>26</v>
      </c>
      <c r="C350" s="9" t="s">
        <v>114</v>
      </c>
      <c r="D350" s="9" t="s">
        <v>115</v>
      </c>
      <c r="E350" s="1" t="s">
        <v>116</v>
      </c>
      <c r="F350" s="1" t="s">
        <v>36</v>
      </c>
      <c r="G350" s="1"/>
      <c r="H350" s="4">
        <v>100</v>
      </c>
      <c r="I350" s="2"/>
      <c r="J350" s="2"/>
      <c r="K350" s="2"/>
      <c r="L350" s="2"/>
      <c r="M350" s="2">
        <v>100</v>
      </c>
      <c r="N350" s="2"/>
      <c r="O350" s="2"/>
      <c r="P350" s="2"/>
      <c r="Q350" s="4"/>
      <c r="R350" s="2"/>
      <c r="S350" s="2"/>
      <c r="T350" s="2"/>
      <c r="U350" s="2"/>
      <c r="V350" s="2"/>
      <c r="W350" s="2"/>
      <c r="X350" s="2"/>
      <c r="Y350" s="2">
        <v>100</v>
      </c>
      <c r="Z350" s="2"/>
      <c r="AA350" s="2"/>
      <c r="AB350" s="2"/>
      <c r="AC350" s="4"/>
      <c r="AD350" s="2"/>
      <c r="AE350" s="2"/>
      <c r="AF350" s="2"/>
      <c r="AG350" s="4"/>
      <c r="AH350" s="2"/>
      <c r="AI350" s="2">
        <f t="shared" si="45"/>
        <v>100</v>
      </c>
      <c r="AJ350" s="2">
        <f t="shared" si="46"/>
        <v>100</v>
      </c>
      <c r="AK350" s="2">
        <f t="shared" si="47"/>
        <v>100</v>
      </c>
      <c r="AL350" s="2">
        <f t="shared" si="42"/>
        <v>0</v>
      </c>
      <c r="AM350" s="2">
        <f t="shared" si="43"/>
        <v>0</v>
      </c>
      <c r="AN350" s="2">
        <f t="shared" si="44"/>
        <v>0</v>
      </c>
    </row>
    <row r="351" spans="1:40" ht="30.75" customHeight="1" x14ac:dyDescent="0.25">
      <c r="A351" s="55">
        <v>400</v>
      </c>
      <c r="B351" s="11" t="s">
        <v>56</v>
      </c>
      <c r="C351" s="28" t="s">
        <v>324</v>
      </c>
      <c r="D351" s="6" t="s">
        <v>322</v>
      </c>
      <c r="E351" s="1" t="s">
        <v>323</v>
      </c>
      <c r="F351" s="1" t="s">
        <v>36</v>
      </c>
      <c r="G351" s="1"/>
      <c r="H351" s="4">
        <v>49700</v>
      </c>
      <c r="I351" s="2"/>
      <c r="J351" s="2"/>
      <c r="K351" s="2"/>
      <c r="L351" s="2"/>
      <c r="M351" s="2"/>
      <c r="N351" s="2"/>
      <c r="O351" s="2"/>
      <c r="P351" s="4">
        <v>9500</v>
      </c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4"/>
      <c r="AC351" s="2">
        <v>9500</v>
      </c>
      <c r="AD351" s="2"/>
      <c r="AE351" s="2"/>
      <c r="AF351" s="2"/>
      <c r="AG351" s="4"/>
      <c r="AH351" s="2"/>
      <c r="AI351" s="2">
        <f t="shared" si="45"/>
        <v>49700</v>
      </c>
      <c r="AJ351" s="2">
        <f t="shared" si="46"/>
        <v>9500</v>
      </c>
      <c r="AK351" s="2">
        <f t="shared" si="47"/>
        <v>9500</v>
      </c>
      <c r="AL351" s="2">
        <f t="shared" si="42"/>
        <v>40200</v>
      </c>
      <c r="AM351" s="2">
        <f t="shared" si="43"/>
        <v>0</v>
      </c>
      <c r="AN351" s="2">
        <f t="shared" si="44"/>
        <v>40200</v>
      </c>
    </row>
    <row r="352" spans="1:40" ht="30.75" customHeight="1" x14ac:dyDescent="0.25">
      <c r="A352" s="55">
        <v>409</v>
      </c>
      <c r="B352" s="11" t="s">
        <v>26</v>
      </c>
      <c r="C352" s="9" t="s">
        <v>125</v>
      </c>
      <c r="D352" s="6" t="s">
        <v>123</v>
      </c>
      <c r="E352" s="1" t="s">
        <v>124</v>
      </c>
      <c r="F352" s="1" t="s">
        <v>37</v>
      </c>
      <c r="G352" s="1"/>
      <c r="H352" s="4">
        <v>800</v>
      </c>
      <c r="I352" s="2"/>
      <c r="J352" s="2"/>
      <c r="K352" s="2"/>
      <c r="L352" s="2"/>
      <c r="M352" s="2"/>
      <c r="N352" s="2">
        <v>800</v>
      </c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>
        <v>800</v>
      </c>
      <c r="AA352" s="2"/>
      <c r="AB352" s="2"/>
      <c r="AC352" s="2"/>
      <c r="AD352" s="2"/>
      <c r="AE352" s="2"/>
      <c r="AF352" s="2"/>
      <c r="AG352" s="4"/>
      <c r="AH352" s="2"/>
      <c r="AI352" s="2">
        <f t="shared" si="45"/>
        <v>800</v>
      </c>
      <c r="AJ352" s="2">
        <f t="shared" si="46"/>
        <v>800</v>
      </c>
      <c r="AK352" s="2">
        <f t="shared" si="47"/>
        <v>800</v>
      </c>
      <c r="AL352" s="2">
        <f t="shared" si="42"/>
        <v>0</v>
      </c>
      <c r="AM352" s="2">
        <f t="shared" si="43"/>
        <v>0</v>
      </c>
      <c r="AN352" s="2">
        <f t="shared" si="44"/>
        <v>0</v>
      </c>
    </row>
    <row r="353" spans="1:40" ht="30.75" customHeight="1" x14ac:dyDescent="0.25">
      <c r="A353" s="55">
        <v>418</v>
      </c>
      <c r="B353" s="11" t="s">
        <v>56</v>
      </c>
      <c r="C353" s="10" t="s">
        <v>62</v>
      </c>
      <c r="D353" s="6" t="s">
        <v>101</v>
      </c>
      <c r="E353" s="1" t="s">
        <v>102</v>
      </c>
      <c r="F353" s="1" t="s">
        <v>36</v>
      </c>
      <c r="G353" s="1"/>
      <c r="H353" s="4">
        <v>20000</v>
      </c>
      <c r="I353" s="2"/>
      <c r="J353" s="2"/>
      <c r="K353" s="2"/>
      <c r="L353" s="2"/>
      <c r="M353" s="2"/>
      <c r="N353" s="2"/>
      <c r="O353" s="2">
        <v>6671.59</v>
      </c>
      <c r="P353" s="2">
        <v>6901.65</v>
      </c>
      <c r="Q353" s="2">
        <v>6901.65</v>
      </c>
      <c r="R353" s="2">
        <v>6901.65</v>
      </c>
      <c r="S353" s="2"/>
      <c r="T353" s="2"/>
      <c r="U353" s="2"/>
      <c r="V353" s="2"/>
      <c r="W353" s="2"/>
      <c r="X353" s="2"/>
      <c r="Y353" s="2"/>
      <c r="Z353" s="2"/>
      <c r="AA353" s="2">
        <f>6231.19</f>
        <v>6231.19</v>
      </c>
      <c r="AB353" s="2">
        <f>6446.08+440.39+455.58</f>
        <v>7342.05</v>
      </c>
      <c r="AC353" s="2">
        <f>6446.07+455.58</f>
        <v>6901.65</v>
      </c>
      <c r="AD353" s="2">
        <f>6446.07+455.58</f>
        <v>6901.65</v>
      </c>
      <c r="AE353" s="2"/>
      <c r="AF353" s="2"/>
      <c r="AG353" s="4"/>
      <c r="AH353" s="2">
        <v>8000</v>
      </c>
      <c r="AI353" s="2">
        <f t="shared" si="45"/>
        <v>28000</v>
      </c>
      <c r="AJ353" s="2">
        <f t="shared" si="46"/>
        <v>27376.54</v>
      </c>
      <c r="AK353" s="2">
        <f t="shared" si="47"/>
        <v>27376.54</v>
      </c>
      <c r="AL353" s="2">
        <f t="shared" si="42"/>
        <v>623.45999999999913</v>
      </c>
      <c r="AM353" s="2">
        <f t="shared" si="43"/>
        <v>0</v>
      </c>
      <c r="AN353" s="2">
        <f t="shared" si="44"/>
        <v>623.45999999999913</v>
      </c>
    </row>
    <row r="354" spans="1:40" ht="30.75" customHeight="1" x14ac:dyDescent="0.25">
      <c r="A354" s="55">
        <v>421</v>
      </c>
      <c r="B354" s="11" t="s">
        <v>26</v>
      </c>
      <c r="C354" s="9" t="s">
        <v>125</v>
      </c>
      <c r="D354" s="6" t="s">
        <v>123</v>
      </c>
      <c r="E354" s="1" t="s">
        <v>124</v>
      </c>
      <c r="F354" s="1" t="s">
        <v>37</v>
      </c>
      <c r="G354" s="1"/>
      <c r="H354" s="63">
        <v>1200</v>
      </c>
      <c r="I354" s="2"/>
      <c r="J354" s="2"/>
      <c r="K354" s="2"/>
      <c r="L354" s="2"/>
      <c r="M354" s="2"/>
      <c r="N354" s="2">
        <v>1200</v>
      </c>
      <c r="O354" s="3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>
        <v>1200</v>
      </c>
      <c r="AA354" s="3"/>
      <c r="AB354" s="2"/>
      <c r="AC354" s="2"/>
      <c r="AD354" s="2"/>
      <c r="AE354" s="2"/>
      <c r="AF354" s="2"/>
      <c r="AG354" s="4"/>
      <c r="AH354" s="2"/>
      <c r="AI354" s="2">
        <f t="shared" si="45"/>
        <v>1200</v>
      </c>
      <c r="AJ354" s="2">
        <f t="shared" si="46"/>
        <v>1200</v>
      </c>
      <c r="AK354" s="2">
        <f t="shared" si="47"/>
        <v>1200</v>
      </c>
      <c r="AL354" s="2">
        <f t="shared" si="42"/>
        <v>0</v>
      </c>
      <c r="AM354" s="2">
        <f t="shared" si="43"/>
        <v>0</v>
      </c>
      <c r="AN354" s="2">
        <f t="shared" si="44"/>
        <v>0</v>
      </c>
    </row>
    <row r="355" spans="1:40" ht="31.5" customHeight="1" x14ac:dyDescent="0.25">
      <c r="A355" s="55">
        <v>423</v>
      </c>
      <c r="B355" s="11" t="s">
        <v>56</v>
      </c>
      <c r="C355" s="9" t="s">
        <v>327</v>
      </c>
      <c r="D355" s="6" t="s">
        <v>326</v>
      </c>
      <c r="E355" s="1" t="s">
        <v>325</v>
      </c>
      <c r="F355" s="1" t="s">
        <v>37</v>
      </c>
      <c r="G355" s="1"/>
      <c r="H355" s="4">
        <v>289316</v>
      </c>
      <c r="I355" s="2"/>
      <c r="J355" s="2"/>
      <c r="K355" s="2"/>
      <c r="L355" s="2"/>
      <c r="M355" s="2"/>
      <c r="N355" s="2"/>
      <c r="O355" s="2"/>
      <c r="P355" s="2"/>
      <c r="Q355" s="2">
        <f>69070+216396+3850</f>
        <v>289316</v>
      </c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>
        <f>216396+69070+3850+2596.75+828.84+46.2-2596.75-46.2-828.84</f>
        <v>289316</v>
      </c>
      <c r="AD355" s="2"/>
      <c r="AE355" s="2"/>
      <c r="AF355" s="2"/>
      <c r="AG355" s="4"/>
      <c r="AH355" s="2"/>
      <c r="AI355" s="2">
        <f t="shared" si="45"/>
        <v>289316</v>
      </c>
      <c r="AJ355" s="2">
        <f t="shared" si="46"/>
        <v>289316</v>
      </c>
      <c r="AK355" s="2">
        <f t="shared" si="47"/>
        <v>289316</v>
      </c>
      <c r="AL355" s="2">
        <f t="shared" si="42"/>
        <v>0</v>
      </c>
      <c r="AM355" s="2">
        <f t="shared" si="43"/>
        <v>0</v>
      </c>
      <c r="AN355" s="2">
        <f t="shared" si="44"/>
        <v>0</v>
      </c>
    </row>
    <row r="356" spans="1:40" ht="30.75" customHeight="1" x14ac:dyDescent="0.25">
      <c r="A356" s="55">
        <v>424</v>
      </c>
      <c r="B356" s="11" t="s">
        <v>26</v>
      </c>
      <c r="C356" s="9" t="s">
        <v>114</v>
      </c>
      <c r="D356" s="6" t="s">
        <v>115</v>
      </c>
      <c r="E356" s="1" t="s">
        <v>116</v>
      </c>
      <c r="F356" s="1" t="s">
        <v>36</v>
      </c>
      <c r="G356" s="1"/>
      <c r="H356" s="4">
        <v>25</v>
      </c>
      <c r="I356" s="2"/>
      <c r="J356" s="2"/>
      <c r="K356" s="2"/>
      <c r="L356" s="2"/>
      <c r="M356" s="2"/>
      <c r="N356" s="2">
        <v>25</v>
      </c>
      <c r="O356" s="2"/>
      <c r="P356" s="2"/>
      <c r="Q356" s="2"/>
      <c r="R356" s="4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4"/>
      <c r="AF356" s="2"/>
      <c r="AG356" s="4"/>
      <c r="AH356" s="2"/>
      <c r="AI356" s="2">
        <f t="shared" si="45"/>
        <v>25</v>
      </c>
      <c r="AJ356" s="2">
        <f t="shared" si="46"/>
        <v>25</v>
      </c>
      <c r="AK356" s="2">
        <f t="shared" si="47"/>
        <v>0</v>
      </c>
      <c r="AL356" s="2">
        <f t="shared" si="42"/>
        <v>25</v>
      </c>
      <c r="AM356" s="2">
        <f t="shared" si="43"/>
        <v>25</v>
      </c>
      <c r="AN356" s="2">
        <f t="shared" si="44"/>
        <v>0</v>
      </c>
    </row>
    <row r="357" spans="1:40" ht="31.5" customHeight="1" x14ac:dyDescent="0.25">
      <c r="A357" s="55">
        <v>425</v>
      </c>
      <c r="B357" s="11" t="s">
        <v>26</v>
      </c>
      <c r="C357" s="9" t="s">
        <v>42</v>
      </c>
      <c r="D357" s="6" t="s">
        <v>328</v>
      </c>
      <c r="E357" s="1" t="s">
        <v>329</v>
      </c>
      <c r="F357" s="1" t="s">
        <v>66</v>
      </c>
      <c r="G357" s="1"/>
      <c r="H357" s="4">
        <v>4363.87</v>
      </c>
      <c r="I357" s="2"/>
      <c r="J357" s="2"/>
      <c r="K357" s="2"/>
      <c r="L357" s="2"/>
      <c r="M357" s="2"/>
      <c r="N357" s="2">
        <v>4363.87</v>
      </c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>
        <v>4363.87</v>
      </c>
      <c r="AA357" s="2"/>
      <c r="AB357" s="2"/>
      <c r="AC357" s="2"/>
      <c r="AD357" s="2"/>
      <c r="AE357" s="2"/>
      <c r="AF357" s="2"/>
      <c r="AG357" s="4"/>
      <c r="AH357" s="2"/>
      <c r="AI357" s="2">
        <f t="shared" si="45"/>
        <v>4363.87</v>
      </c>
      <c r="AJ357" s="2">
        <f t="shared" si="46"/>
        <v>4363.87</v>
      </c>
      <c r="AK357" s="2">
        <f t="shared" si="47"/>
        <v>4363.87</v>
      </c>
      <c r="AL357" s="2">
        <f t="shared" si="42"/>
        <v>0</v>
      </c>
      <c r="AM357" s="2">
        <f t="shared" si="43"/>
        <v>0</v>
      </c>
      <c r="AN357" s="2">
        <f t="shared" si="44"/>
        <v>0</v>
      </c>
    </row>
    <row r="358" spans="1:40" ht="30.75" customHeight="1" x14ac:dyDescent="0.25">
      <c r="A358" s="55">
        <v>426</v>
      </c>
      <c r="B358" s="11" t="s">
        <v>26</v>
      </c>
      <c r="C358" s="9" t="s">
        <v>163</v>
      </c>
      <c r="D358" s="6" t="s">
        <v>330</v>
      </c>
      <c r="E358" s="1" t="s">
        <v>162</v>
      </c>
      <c r="F358" s="1" t="s">
        <v>37</v>
      </c>
      <c r="G358" s="1"/>
      <c r="H358" s="4">
        <v>17000</v>
      </c>
      <c r="I358" s="2"/>
      <c r="J358" s="2"/>
      <c r="K358" s="2"/>
      <c r="L358" s="2"/>
      <c r="M358" s="2"/>
      <c r="N358" s="2">
        <v>17000</v>
      </c>
      <c r="O358" s="3"/>
      <c r="P358" s="2"/>
      <c r="Q358" s="4"/>
      <c r="R358" s="2"/>
      <c r="S358" s="2"/>
      <c r="T358" s="2"/>
      <c r="U358" s="2"/>
      <c r="V358" s="2"/>
      <c r="W358" s="2"/>
      <c r="X358" s="2"/>
      <c r="Y358" s="2"/>
      <c r="Z358" s="2">
        <v>17000</v>
      </c>
      <c r="AA358" s="2"/>
      <c r="AB358" s="2"/>
      <c r="AC358" s="4"/>
      <c r="AD358" s="2"/>
      <c r="AE358" s="2"/>
      <c r="AF358" s="2"/>
      <c r="AG358" s="4"/>
      <c r="AH358" s="2"/>
      <c r="AI358" s="2">
        <f t="shared" si="45"/>
        <v>17000</v>
      </c>
      <c r="AJ358" s="2">
        <f t="shared" si="46"/>
        <v>17000</v>
      </c>
      <c r="AK358" s="2">
        <f t="shared" si="47"/>
        <v>17000</v>
      </c>
      <c r="AL358" s="2">
        <f t="shared" si="42"/>
        <v>0</v>
      </c>
      <c r="AM358" s="2">
        <f t="shared" si="43"/>
        <v>0</v>
      </c>
      <c r="AN358" s="2">
        <f t="shared" si="44"/>
        <v>0</v>
      </c>
    </row>
    <row r="359" spans="1:40" ht="31.5" customHeight="1" x14ac:dyDescent="0.25">
      <c r="A359" s="55">
        <v>434</v>
      </c>
      <c r="B359" s="11" t="s">
        <v>56</v>
      </c>
      <c r="C359" s="9" t="s">
        <v>292</v>
      </c>
      <c r="D359" s="6" t="s">
        <v>291</v>
      </c>
      <c r="E359" s="1" t="s">
        <v>216</v>
      </c>
      <c r="F359" s="1" t="s">
        <v>36</v>
      </c>
      <c r="G359" s="1"/>
      <c r="H359" s="4">
        <v>5500</v>
      </c>
      <c r="I359" s="4"/>
      <c r="J359" s="4"/>
      <c r="K359" s="4"/>
      <c r="L359" s="4"/>
      <c r="M359" s="4"/>
      <c r="N359" s="4">
        <v>5500</v>
      </c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>
        <v>5500</v>
      </c>
      <c r="AA359" s="4"/>
      <c r="AB359" s="2"/>
      <c r="AC359" s="4"/>
      <c r="AD359" s="2"/>
      <c r="AE359" s="2"/>
      <c r="AF359" s="2"/>
      <c r="AG359" s="4"/>
      <c r="AH359" s="2"/>
      <c r="AI359" s="2">
        <f t="shared" si="45"/>
        <v>5500</v>
      </c>
      <c r="AJ359" s="2">
        <f t="shared" si="46"/>
        <v>5500</v>
      </c>
      <c r="AK359" s="2">
        <f t="shared" si="47"/>
        <v>5500</v>
      </c>
      <c r="AL359" s="2">
        <f t="shared" si="42"/>
        <v>0</v>
      </c>
      <c r="AM359" s="2">
        <f t="shared" si="43"/>
        <v>0</v>
      </c>
      <c r="AN359" s="2">
        <f t="shared" si="44"/>
        <v>0</v>
      </c>
    </row>
    <row r="360" spans="1:40" ht="30.75" customHeight="1" x14ac:dyDescent="0.25">
      <c r="A360" s="55">
        <v>435</v>
      </c>
      <c r="B360" s="11" t="s">
        <v>26</v>
      </c>
      <c r="C360" s="9" t="s">
        <v>94</v>
      </c>
      <c r="D360" s="6" t="s">
        <v>92</v>
      </c>
      <c r="E360" s="1" t="s">
        <v>93</v>
      </c>
      <c r="F360" s="1" t="s">
        <v>36</v>
      </c>
      <c r="G360" s="1"/>
      <c r="H360" s="4">
        <v>1200</v>
      </c>
      <c r="I360" s="2"/>
      <c r="J360" s="2"/>
      <c r="K360" s="2"/>
      <c r="L360" s="2"/>
      <c r="M360" s="2"/>
      <c r="N360" s="2">
        <v>1200</v>
      </c>
      <c r="O360" s="2"/>
      <c r="P360" s="2"/>
      <c r="Q360" s="4"/>
      <c r="R360" s="2"/>
      <c r="S360" s="2"/>
      <c r="T360" s="2"/>
      <c r="U360" s="2"/>
      <c r="V360" s="2"/>
      <c r="W360" s="2"/>
      <c r="X360" s="2"/>
      <c r="Y360" s="2"/>
      <c r="Z360" s="2">
        <v>1200</v>
      </c>
      <c r="AA360" s="2"/>
      <c r="AB360" s="2"/>
      <c r="AC360" s="4"/>
      <c r="AD360" s="2"/>
      <c r="AE360" s="2"/>
      <c r="AF360" s="2"/>
      <c r="AG360" s="4"/>
      <c r="AH360" s="2"/>
      <c r="AI360" s="2">
        <f t="shared" si="45"/>
        <v>1200</v>
      </c>
      <c r="AJ360" s="2">
        <f t="shared" si="46"/>
        <v>1200</v>
      </c>
      <c r="AK360" s="2">
        <f t="shared" si="47"/>
        <v>1200</v>
      </c>
      <c r="AL360" s="2">
        <f t="shared" si="42"/>
        <v>0</v>
      </c>
      <c r="AM360" s="2">
        <f t="shared" si="43"/>
        <v>0</v>
      </c>
      <c r="AN360" s="2">
        <f t="shared" si="44"/>
        <v>0</v>
      </c>
    </row>
    <row r="361" spans="1:40" ht="30.75" customHeight="1" x14ac:dyDescent="0.25">
      <c r="A361" s="55">
        <v>436</v>
      </c>
      <c r="B361" s="11" t="s">
        <v>26</v>
      </c>
      <c r="C361" s="9" t="s">
        <v>94</v>
      </c>
      <c r="D361" s="6" t="s">
        <v>108</v>
      </c>
      <c r="E361" s="1" t="s">
        <v>109</v>
      </c>
      <c r="F361" s="1" t="s">
        <v>36</v>
      </c>
      <c r="G361" s="1"/>
      <c r="H361" s="4">
        <v>1200</v>
      </c>
      <c r="I361" s="2"/>
      <c r="J361" s="2"/>
      <c r="K361" s="2"/>
      <c r="L361" s="2"/>
      <c r="M361" s="2"/>
      <c r="N361" s="2">
        <v>1200</v>
      </c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>
        <v>1200</v>
      </c>
      <c r="AA361" s="2"/>
      <c r="AB361" s="2"/>
      <c r="AC361" s="2"/>
      <c r="AD361" s="2"/>
      <c r="AE361" s="2"/>
      <c r="AF361" s="2"/>
      <c r="AG361" s="4"/>
      <c r="AH361" s="2"/>
      <c r="AI361" s="2">
        <f t="shared" si="45"/>
        <v>1200</v>
      </c>
      <c r="AJ361" s="2">
        <f t="shared" si="46"/>
        <v>1200</v>
      </c>
      <c r="AK361" s="2">
        <f t="shared" si="47"/>
        <v>1200</v>
      </c>
      <c r="AL361" s="2">
        <f t="shared" si="42"/>
        <v>0</v>
      </c>
      <c r="AM361" s="2">
        <f t="shared" si="43"/>
        <v>0</v>
      </c>
      <c r="AN361" s="2">
        <f t="shared" si="44"/>
        <v>0</v>
      </c>
    </row>
    <row r="362" spans="1:40" ht="30.75" customHeight="1" x14ac:dyDescent="0.25">
      <c r="A362" s="55">
        <v>438</v>
      </c>
      <c r="B362" s="11" t="s">
        <v>26</v>
      </c>
      <c r="C362" s="9" t="s">
        <v>192</v>
      </c>
      <c r="D362" s="6" t="s">
        <v>193</v>
      </c>
      <c r="E362" s="1" t="s">
        <v>194</v>
      </c>
      <c r="F362" s="1" t="s">
        <v>36</v>
      </c>
      <c r="G362" s="1"/>
      <c r="H362" s="4">
        <v>8700</v>
      </c>
      <c r="I362" s="2"/>
      <c r="J362" s="2"/>
      <c r="K362" s="2"/>
      <c r="L362" s="2"/>
      <c r="M362" s="2"/>
      <c r="N362" s="2">
        <v>8700</v>
      </c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>
        <v>8700</v>
      </c>
      <c r="AA362" s="2"/>
      <c r="AB362" s="2"/>
      <c r="AC362" s="2"/>
      <c r="AD362" s="2"/>
      <c r="AE362" s="2"/>
      <c r="AF362" s="2"/>
      <c r="AG362" s="4"/>
      <c r="AH362" s="2"/>
      <c r="AI362" s="2">
        <f t="shared" si="45"/>
        <v>8700</v>
      </c>
      <c r="AJ362" s="2">
        <f t="shared" si="46"/>
        <v>8700</v>
      </c>
      <c r="AK362" s="2">
        <f t="shared" si="47"/>
        <v>8700</v>
      </c>
      <c r="AL362" s="2">
        <f t="shared" si="42"/>
        <v>0</v>
      </c>
      <c r="AM362" s="2">
        <f t="shared" si="43"/>
        <v>0</v>
      </c>
      <c r="AN362" s="2">
        <f t="shared" si="44"/>
        <v>0</v>
      </c>
    </row>
    <row r="363" spans="1:40" ht="31.5" customHeight="1" x14ac:dyDescent="0.25">
      <c r="A363" s="55">
        <v>439</v>
      </c>
      <c r="B363" s="11" t="s">
        <v>26</v>
      </c>
      <c r="C363" s="9" t="s">
        <v>94</v>
      </c>
      <c r="D363" s="6" t="s">
        <v>288</v>
      </c>
      <c r="E363" s="1" t="s">
        <v>289</v>
      </c>
      <c r="F363" s="1" t="s">
        <v>36</v>
      </c>
      <c r="G363" s="1"/>
      <c r="H363" s="4">
        <v>1000</v>
      </c>
      <c r="I363" s="2"/>
      <c r="J363" s="2"/>
      <c r="K363" s="2"/>
      <c r="L363" s="2"/>
      <c r="M363" s="2"/>
      <c r="N363" s="2">
        <v>1000</v>
      </c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>
        <v>1000</v>
      </c>
      <c r="AA363" s="2"/>
      <c r="AB363" s="2"/>
      <c r="AC363" s="2"/>
      <c r="AD363" s="2"/>
      <c r="AE363" s="2"/>
      <c r="AF363" s="2"/>
      <c r="AG363" s="4"/>
      <c r="AH363" s="2"/>
      <c r="AI363" s="2">
        <f t="shared" si="45"/>
        <v>1000</v>
      </c>
      <c r="AJ363" s="2">
        <f t="shared" si="46"/>
        <v>1000</v>
      </c>
      <c r="AK363" s="2">
        <f t="shared" si="47"/>
        <v>1000</v>
      </c>
      <c r="AL363" s="2">
        <f t="shared" si="42"/>
        <v>0</v>
      </c>
      <c r="AM363" s="2">
        <f t="shared" si="43"/>
        <v>0</v>
      </c>
      <c r="AN363" s="2">
        <f t="shared" si="44"/>
        <v>0</v>
      </c>
    </row>
    <row r="364" spans="1:40" ht="31.5" customHeight="1" x14ac:dyDescent="0.25">
      <c r="A364" s="55">
        <v>440</v>
      </c>
      <c r="B364" s="11" t="s">
        <v>26</v>
      </c>
      <c r="C364" s="15" t="s">
        <v>94</v>
      </c>
      <c r="D364" s="15" t="s">
        <v>331</v>
      </c>
      <c r="E364" s="17" t="s">
        <v>332</v>
      </c>
      <c r="F364" s="1" t="s">
        <v>36</v>
      </c>
      <c r="G364" s="1"/>
      <c r="H364" s="4">
        <v>1000</v>
      </c>
      <c r="I364" s="2"/>
      <c r="J364" s="2"/>
      <c r="K364" s="2"/>
      <c r="L364" s="2"/>
      <c r="M364" s="2"/>
      <c r="N364" s="2">
        <v>1000</v>
      </c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>
        <v>1000</v>
      </c>
      <c r="AA364" s="2"/>
      <c r="AB364" s="2"/>
      <c r="AC364" s="2"/>
      <c r="AD364" s="2"/>
      <c r="AE364" s="2"/>
      <c r="AF364" s="2"/>
      <c r="AG364" s="4"/>
      <c r="AH364" s="2"/>
      <c r="AI364" s="2">
        <f t="shared" si="45"/>
        <v>1000</v>
      </c>
      <c r="AJ364" s="2">
        <f t="shared" si="46"/>
        <v>1000</v>
      </c>
      <c r="AK364" s="2">
        <f t="shared" si="47"/>
        <v>1000</v>
      </c>
      <c r="AL364" s="2">
        <f t="shared" si="42"/>
        <v>0</v>
      </c>
      <c r="AM364" s="2">
        <f t="shared" si="43"/>
        <v>0</v>
      </c>
      <c r="AN364" s="2">
        <f t="shared" si="44"/>
        <v>0</v>
      </c>
    </row>
    <row r="365" spans="1:40" ht="31.5" customHeight="1" x14ac:dyDescent="0.25">
      <c r="A365" s="55">
        <v>443</v>
      </c>
      <c r="B365" s="11" t="s">
        <v>26</v>
      </c>
      <c r="C365" s="49" t="s">
        <v>251</v>
      </c>
      <c r="D365" s="6" t="s">
        <v>319</v>
      </c>
      <c r="E365" s="1" t="s">
        <v>250</v>
      </c>
      <c r="F365" s="1" t="s">
        <v>36</v>
      </c>
      <c r="G365" s="1"/>
      <c r="H365" s="4">
        <v>13000</v>
      </c>
      <c r="I365" s="2"/>
      <c r="J365" s="2"/>
      <c r="K365" s="2"/>
      <c r="L365" s="2"/>
      <c r="M365" s="2"/>
      <c r="N365" s="2">
        <v>13000</v>
      </c>
      <c r="O365" s="2"/>
      <c r="P365" s="2"/>
      <c r="Q365" s="4"/>
      <c r="R365" s="2"/>
      <c r="S365" s="2"/>
      <c r="T365" s="2"/>
      <c r="U365" s="2"/>
      <c r="V365" s="2"/>
      <c r="W365" s="2"/>
      <c r="X365" s="2"/>
      <c r="Y365" s="2"/>
      <c r="Z365" s="2">
        <v>13000</v>
      </c>
      <c r="AA365" s="2"/>
      <c r="AB365" s="2"/>
      <c r="AC365" s="4"/>
      <c r="AD365" s="2"/>
      <c r="AE365" s="2"/>
      <c r="AF365" s="2"/>
      <c r="AG365" s="4"/>
      <c r="AH365" s="2"/>
      <c r="AI365" s="2">
        <f t="shared" si="45"/>
        <v>13000</v>
      </c>
      <c r="AJ365" s="2">
        <f t="shared" si="46"/>
        <v>13000</v>
      </c>
      <c r="AK365" s="2">
        <f t="shared" si="47"/>
        <v>13000</v>
      </c>
      <c r="AL365" s="2">
        <f t="shared" si="42"/>
        <v>0</v>
      </c>
      <c r="AM365" s="2">
        <f t="shared" si="43"/>
        <v>0</v>
      </c>
      <c r="AN365" s="2">
        <f t="shared" si="44"/>
        <v>0</v>
      </c>
    </row>
    <row r="366" spans="1:40" ht="31.5" customHeight="1" x14ac:dyDescent="0.25">
      <c r="A366" s="55">
        <v>465</v>
      </c>
      <c r="B366" s="11" t="s">
        <v>26</v>
      </c>
      <c r="C366" s="15" t="s">
        <v>163</v>
      </c>
      <c r="D366" s="15" t="s">
        <v>333</v>
      </c>
      <c r="E366" s="1" t="s">
        <v>213</v>
      </c>
      <c r="F366" s="1" t="s">
        <v>37</v>
      </c>
      <c r="G366" s="1"/>
      <c r="H366" s="4">
        <v>10000</v>
      </c>
      <c r="I366" s="2"/>
      <c r="J366" s="2"/>
      <c r="K366" s="2"/>
      <c r="L366" s="2"/>
      <c r="M366" s="2"/>
      <c r="N366" s="2">
        <v>10000</v>
      </c>
      <c r="O366" s="2"/>
      <c r="P366" s="2"/>
      <c r="Q366" s="4"/>
      <c r="R366" s="2"/>
      <c r="S366" s="2"/>
      <c r="T366" s="2"/>
      <c r="U366" s="2"/>
      <c r="V366" s="2"/>
      <c r="W366" s="2"/>
      <c r="X366" s="2"/>
      <c r="Y366" s="2"/>
      <c r="Z366" s="2">
        <v>10000</v>
      </c>
      <c r="AA366" s="2"/>
      <c r="AB366" s="2"/>
      <c r="AC366" s="4"/>
      <c r="AD366" s="2"/>
      <c r="AE366" s="2"/>
      <c r="AF366" s="2"/>
      <c r="AG366" s="4"/>
      <c r="AH366" s="2"/>
      <c r="AI366" s="2">
        <f t="shared" si="45"/>
        <v>10000</v>
      </c>
      <c r="AJ366" s="2">
        <f t="shared" si="46"/>
        <v>10000</v>
      </c>
      <c r="AK366" s="2">
        <f t="shared" si="47"/>
        <v>10000</v>
      </c>
      <c r="AL366" s="2">
        <f t="shared" si="42"/>
        <v>0</v>
      </c>
      <c r="AM366" s="2">
        <f t="shared" si="43"/>
        <v>0</v>
      </c>
      <c r="AN366" s="2">
        <f t="shared" si="44"/>
        <v>0</v>
      </c>
    </row>
    <row r="367" spans="1:40" ht="30.75" customHeight="1" x14ac:dyDescent="0.25">
      <c r="A367" s="55">
        <v>477</v>
      </c>
      <c r="B367" s="11" t="s">
        <v>56</v>
      </c>
      <c r="C367" s="15" t="s">
        <v>295</v>
      </c>
      <c r="D367" s="38" t="s">
        <v>334</v>
      </c>
      <c r="E367" s="1" t="s">
        <v>294</v>
      </c>
      <c r="F367" s="1" t="s">
        <v>36</v>
      </c>
      <c r="G367" s="1"/>
      <c r="H367" s="4">
        <v>18000</v>
      </c>
      <c r="I367" s="2"/>
      <c r="J367" s="2"/>
      <c r="K367" s="2"/>
      <c r="L367" s="2"/>
      <c r="M367" s="2"/>
      <c r="N367" s="2"/>
      <c r="O367" s="2"/>
      <c r="P367" s="2"/>
      <c r="Q367" s="2"/>
      <c r="R367" s="18"/>
      <c r="S367" s="38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18"/>
      <c r="AE367" s="38"/>
      <c r="AF367" s="2"/>
      <c r="AG367" s="4"/>
      <c r="AH367" s="2"/>
      <c r="AI367" s="2">
        <f t="shared" si="45"/>
        <v>18000</v>
      </c>
      <c r="AJ367" s="2">
        <f t="shared" si="46"/>
        <v>0</v>
      </c>
      <c r="AK367" s="2">
        <f t="shared" si="47"/>
        <v>0</v>
      </c>
      <c r="AL367" s="2">
        <f t="shared" si="42"/>
        <v>18000</v>
      </c>
      <c r="AM367" s="2">
        <f t="shared" si="43"/>
        <v>0</v>
      </c>
      <c r="AN367" s="2">
        <f t="shared" si="44"/>
        <v>18000</v>
      </c>
    </row>
    <row r="368" spans="1:40" ht="30.75" customHeight="1" x14ac:dyDescent="0.25">
      <c r="A368" s="55">
        <v>479</v>
      </c>
      <c r="B368" s="11" t="s">
        <v>56</v>
      </c>
      <c r="C368" s="9" t="s">
        <v>62</v>
      </c>
      <c r="D368" s="6" t="s">
        <v>60</v>
      </c>
      <c r="E368" s="1" t="s">
        <v>61</v>
      </c>
      <c r="F368" s="1" t="s">
        <v>36</v>
      </c>
      <c r="G368" s="1"/>
      <c r="H368" s="4">
        <v>420000</v>
      </c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4">
        <v>420000</v>
      </c>
      <c r="AH368" s="2"/>
      <c r="AI368" s="2">
        <f t="shared" si="45"/>
        <v>0</v>
      </c>
      <c r="AJ368" s="2">
        <f t="shared" si="46"/>
        <v>0</v>
      </c>
      <c r="AK368" s="2">
        <f t="shared" si="47"/>
        <v>0</v>
      </c>
      <c r="AL368" s="2">
        <f t="shared" si="42"/>
        <v>0</v>
      </c>
      <c r="AM368" s="2">
        <f t="shared" si="43"/>
        <v>0</v>
      </c>
      <c r="AN368" s="2">
        <f t="shared" si="44"/>
        <v>0</v>
      </c>
    </row>
    <row r="369" spans="1:40" ht="30.75" customHeight="1" x14ac:dyDescent="0.25">
      <c r="A369" s="55">
        <v>480</v>
      </c>
      <c r="B369" s="11" t="s">
        <v>56</v>
      </c>
      <c r="C369" s="15" t="s">
        <v>62</v>
      </c>
      <c r="D369" s="38" t="s">
        <v>60</v>
      </c>
      <c r="E369" s="1" t="s">
        <v>61</v>
      </c>
      <c r="F369" s="1" t="s">
        <v>36</v>
      </c>
      <c r="G369" s="1"/>
      <c r="H369" s="4">
        <v>420000</v>
      </c>
      <c r="I369" s="2"/>
      <c r="J369" s="2"/>
      <c r="K369" s="2"/>
      <c r="L369" s="2"/>
      <c r="M369" s="2"/>
      <c r="N369" s="2"/>
      <c r="O369" s="2">
        <v>404579.18</v>
      </c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>
        <f>340751.6+19419.8+44407.78</f>
        <v>404579.17999999993</v>
      </c>
      <c r="AB369" s="2"/>
      <c r="AC369" s="2"/>
      <c r="AD369" s="2"/>
      <c r="AE369" s="2"/>
      <c r="AF369" s="2"/>
      <c r="AG369" s="4"/>
      <c r="AH369" s="2"/>
      <c r="AI369" s="2">
        <f t="shared" si="45"/>
        <v>420000</v>
      </c>
      <c r="AJ369" s="2">
        <f t="shared" si="46"/>
        <v>404579.18</v>
      </c>
      <c r="AK369" s="2">
        <f t="shared" si="47"/>
        <v>404579.17999999993</v>
      </c>
      <c r="AL369" s="2">
        <f t="shared" si="42"/>
        <v>15420.820000000065</v>
      </c>
      <c r="AM369" s="2">
        <f t="shared" si="43"/>
        <v>5.8207660913467407E-11</v>
      </c>
      <c r="AN369" s="2">
        <f t="shared" si="44"/>
        <v>15420.820000000007</v>
      </c>
    </row>
    <row r="370" spans="1:40" ht="30.75" customHeight="1" x14ac:dyDescent="0.25">
      <c r="A370" s="55">
        <v>484</v>
      </c>
      <c r="B370" s="11" t="s">
        <v>56</v>
      </c>
      <c r="C370" s="9" t="s">
        <v>97</v>
      </c>
      <c r="D370" s="6" t="s">
        <v>95</v>
      </c>
      <c r="E370" s="1" t="s">
        <v>96</v>
      </c>
      <c r="F370" s="1" t="s">
        <v>36</v>
      </c>
      <c r="G370" s="1"/>
      <c r="H370" s="18">
        <v>10</v>
      </c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4"/>
      <c r="AH370" s="2"/>
      <c r="AI370" s="2">
        <f t="shared" si="45"/>
        <v>10</v>
      </c>
      <c r="AJ370" s="2">
        <f t="shared" si="46"/>
        <v>0</v>
      </c>
      <c r="AK370" s="2">
        <f t="shared" si="47"/>
        <v>0</v>
      </c>
      <c r="AL370" s="2">
        <f t="shared" ref="AL370:AL433" si="48">SUM(AJ370-AK370)+(AI370-AJ370)</f>
        <v>10</v>
      </c>
      <c r="AM370" s="2">
        <f t="shared" ref="AM370:AM433" si="49">SUM(AJ370-AK370)</f>
        <v>0</v>
      </c>
      <c r="AN370" s="2">
        <f t="shared" ref="AN370:AN433" si="50">SUM(AI370-AJ370)</f>
        <v>10</v>
      </c>
    </row>
    <row r="371" spans="1:40" ht="30.75" customHeight="1" x14ac:dyDescent="0.25">
      <c r="A371" s="55">
        <v>489</v>
      </c>
      <c r="B371" s="1" t="s">
        <v>26</v>
      </c>
      <c r="C371" s="6" t="s">
        <v>42</v>
      </c>
      <c r="D371" s="6" t="s">
        <v>335</v>
      </c>
      <c r="E371" s="1" t="s">
        <v>336</v>
      </c>
      <c r="F371" s="1" t="s">
        <v>66</v>
      </c>
      <c r="G371" s="1"/>
      <c r="H371" s="18">
        <v>4299.8599999999997</v>
      </c>
      <c r="I371" s="2"/>
      <c r="J371" s="2"/>
      <c r="K371" s="2"/>
      <c r="L371" s="2"/>
      <c r="M371" s="2"/>
      <c r="N371" s="2"/>
      <c r="O371" s="2">
        <v>4299.8599999999997</v>
      </c>
      <c r="P371" s="2"/>
      <c r="Q371" s="2"/>
      <c r="R371" s="18"/>
      <c r="S371" s="2"/>
      <c r="T371" s="19"/>
      <c r="U371" s="2"/>
      <c r="V371" s="2"/>
      <c r="W371" s="2"/>
      <c r="X371" s="2"/>
      <c r="Y371" s="2"/>
      <c r="Z371" s="2"/>
      <c r="AA371" s="2">
        <v>4299.8599999999997</v>
      </c>
      <c r="AB371" s="2"/>
      <c r="AC371" s="2"/>
      <c r="AD371" s="2"/>
      <c r="AE371" s="2"/>
      <c r="AF371" s="19"/>
      <c r="AG371" s="19"/>
      <c r="AH371" s="2"/>
      <c r="AI371" s="2">
        <f t="shared" si="45"/>
        <v>4299.8599999999997</v>
      </c>
      <c r="AJ371" s="2">
        <f t="shared" si="46"/>
        <v>4299.8599999999997</v>
      </c>
      <c r="AK371" s="2">
        <f t="shared" si="47"/>
        <v>4299.8599999999997</v>
      </c>
      <c r="AL371" s="2">
        <f t="shared" si="48"/>
        <v>0</v>
      </c>
      <c r="AM371" s="2">
        <f t="shared" si="49"/>
        <v>0</v>
      </c>
      <c r="AN371" s="2">
        <f t="shared" si="50"/>
        <v>0</v>
      </c>
    </row>
    <row r="372" spans="1:40" ht="30.75" customHeight="1" x14ac:dyDescent="0.25">
      <c r="A372" s="55">
        <v>490</v>
      </c>
      <c r="B372" s="11" t="s">
        <v>26</v>
      </c>
      <c r="C372" s="9" t="s">
        <v>192</v>
      </c>
      <c r="D372" s="6" t="s">
        <v>190</v>
      </c>
      <c r="E372" s="1" t="s">
        <v>191</v>
      </c>
      <c r="F372" s="1" t="s">
        <v>36</v>
      </c>
      <c r="G372" s="1"/>
      <c r="H372" s="18">
        <v>8700</v>
      </c>
      <c r="I372" s="2"/>
      <c r="J372" s="2"/>
      <c r="K372" s="2"/>
      <c r="L372" s="2"/>
      <c r="M372" s="2"/>
      <c r="N372" s="2"/>
      <c r="O372" s="2">
        <v>8700</v>
      </c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>
        <v>8700</v>
      </c>
      <c r="AB372" s="2"/>
      <c r="AC372" s="2"/>
      <c r="AD372" s="2"/>
      <c r="AE372" s="2"/>
      <c r="AF372" s="2"/>
      <c r="AG372" s="4"/>
      <c r="AH372" s="2"/>
      <c r="AI372" s="2">
        <f t="shared" si="45"/>
        <v>8700</v>
      </c>
      <c r="AJ372" s="2">
        <f t="shared" si="46"/>
        <v>8700</v>
      </c>
      <c r="AK372" s="2">
        <f t="shared" si="47"/>
        <v>8700</v>
      </c>
      <c r="AL372" s="2">
        <f t="shared" si="48"/>
        <v>0</v>
      </c>
      <c r="AM372" s="2">
        <f t="shared" si="49"/>
        <v>0</v>
      </c>
      <c r="AN372" s="2">
        <f t="shared" si="50"/>
        <v>0</v>
      </c>
    </row>
    <row r="373" spans="1:40" ht="31.5" customHeight="1" x14ac:dyDescent="0.25">
      <c r="A373" s="55">
        <v>491</v>
      </c>
      <c r="B373" s="11" t="s">
        <v>56</v>
      </c>
      <c r="C373" s="9" t="s">
        <v>339</v>
      </c>
      <c r="D373" s="6" t="s">
        <v>337</v>
      </c>
      <c r="E373" s="1" t="s">
        <v>338</v>
      </c>
      <c r="F373" s="1" t="s">
        <v>37</v>
      </c>
      <c r="G373" s="1"/>
      <c r="H373" s="18">
        <v>9650</v>
      </c>
      <c r="I373" s="2"/>
      <c r="J373" s="2"/>
      <c r="K373" s="2"/>
      <c r="L373" s="2"/>
      <c r="M373" s="2"/>
      <c r="N373" s="2"/>
      <c r="O373" s="2"/>
      <c r="P373" s="2">
        <v>9650</v>
      </c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>
        <v>9650</v>
      </c>
      <c r="AC373" s="2"/>
      <c r="AD373" s="2"/>
      <c r="AE373" s="2"/>
      <c r="AF373" s="2"/>
      <c r="AG373" s="4"/>
      <c r="AH373" s="2"/>
      <c r="AI373" s="2">
        <f t="shared" si="45"/>
        <v>9650</v>
      </c>
      <c r="AJ373" s="2">
        <f t="shared" si="46"/>
        <v>9650</v>
      </c>
      <c r="AK373" s="2">
        <f t="shared" si="47"/>
        <v>9650</v>
      </c>
      <c r="AL373" s="2">
        <f t="shared" si="48"/>
        <v>0</v>
      </c>
      <c r="AM373" s="2">
        <f t="shared" si="49"/>
        <v>0</v>
      </c>
      <c r="AN373" s="2">
        <f t="shared" si="50"/>
        <v>0</v>
      </c>
    </row>
    <row r="374" spans="1:40" ht="31.5" customHeight="1" x14ac:dyDescent="0.25">
      <c r="A374" s="55">
        <v>493</v>
      </c>
      <c r="B374" s="11" t="s">
        <v>26</v>
      </c>
      <c r="C374" s="9" t="s">
        <v>94</v>
      </c>
      <c r="D374" s="6" t="s">
        <v>92</v>
      </c>
      <c r="E374" s="1" t="s">
        <v>93</v>
      </c>
      <c r="F374" s="1" t="s">
        <v>36</v>
      </c>
      <c r="G374" s="1"/>
      <c r="H374" s="18">
        <v>1200</v>
      </c>
      <c r="I374" s="2"/>
      <c r="J374" s="2"/>
      <c r="K374" s="2"/>
      <c r="L374" s="2"/>
      <c r="M374" s="2"/>
      <c r="N374" s="2"/>
      <c r="O374" s="2">
        <v>1200</v>
      </c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>
        <v>1200</v>
      </c>
      <c r="AB374" s="2"/>
      <c r="AC374" s="2"/>
      <c r="AD374" s="2"/>
      <c r="AE374" s="2"/>
      <c r="AF374" s="2"/>
      <c r="AG374" s="19"/>
      <c r="AH374" s="2"/>
      <c r="AI374" s="2">
        <f t="shared" si="45"/>
        <v>1200</v>
      </c>
      <c r="AJ374" s="2">
        <f t="shared" si="46"/>
        <v>1200</v>
      </c>
      <c r="AK374" s="2">
        <f t="shared" si="47"/>
        <v>1200</v>
      </c>
      <c r="AL374" s="2">
        <f t="shared" si="48"/>
        <v>0</v>
      </c>
      <c r="AM374" s="2">
        <f t="shared" si="49"/>
        <v>0</v>
      </c>
      <c r="AN374" s="2">
        <f t="shared" si="50"/>
        <v>0</v>
      </c>
    </row>
    <row r="375" spans="1:40" ht="30.75" customHeight="1" x14ac:dyDescent="0.25">
      <c r="A375" s="55">
        <v>494</v>
      </c>
      <c r="B375" s="11" t="s">
        <v>26</v>
      </c>
      <c r="C375" s="9" t="s">
        <v>160</v>
      </c>
      <c r="D375" s="51" t="s">
        <v>340</v>
      </c>
      <c r="E375" s="1" t="s">
        <v>341</v>
      </c>
      <c r="F375" s="1" t="s">
        <v>37</v>
      </c>
      <c r="G375" s="1"/>
      <c r="H375" s="18">
        <v>1100</v>
      </c>
      <c r="I375" s="2"/>
      <c r="J375" s="2"/>
      <c r="K375" s="2"/>
      <c r="L375" s="2"/>
      <c r="M375" s="2"/>
      <c r="N375" s="2"/>
      <c r="O375" s="2">
        <v>1100</v>
      </c>
      <c r="P375" s="2"/>
      <c r="Q375" s="2"/>
      <c r="R375" s="2"/>
      <c r="S375" s="18"/>
      <c r="T375" s="2"/>
      <c r="U375" s="2"/>
      <c r="V375" s="2"/>
      <c r="W375" s="2"/>
      <c r="X375" s="2"/>
      <c r="Y375" s="2"/>
      <c r="Z375" s="2"/>
      <c r="AA375" s="2">
        <v>1100</v>
      </c>
      <c r="AB375" s="2"/>
      <c r="AC375" s="2"/>
      <c r="AD375" s="2"/>
      <c r="AE375" s="18"/>
      <c r="AF375" s="2"/>
      <c r="AG375" s="19"/>
      <c r="AH375" s="2"/>
      <c r="AI375" s="2">
        <f t="shared" si="45"/>
        <v>1100</v>
      </c>
      <c r="AJ375" s="2">
        <f t="shared" si="46"/>
        <v>1100</v>
      </c>
      <c r="AK375" s="2">
        <f t="shared" si="47"/>
        <v>1100</v>
      </c>
      <c r="AL375" s="2">
        <f t="shared" si="48"/>
        <v>0</v>
      </c>
      <c r="AM375" s="2">
        <f t="shared" si="49"/>
        <v>0</v>
      </c>
      <c r="AN375" s="2">
        <f t="shared" si="50"/>
        <v>0</v>
      </c>
    </row>
    <row r="376" spans="1:40" ht="30.75" customHeight="1" x14ac:dyDescent="0.25">
      <c r="A376" s="55">
        <v>501</v>
      </c>
      <c r="B376" s="11" t="s">
        <v>56</v>
      </c>
      <c r="C376" s="9" t="s">
        <v>258</v>
      </c>
      <c r="D376" s="6" t="s">
        <v>342</v>
      </c>
      <c r="E376" s="1" t="s">
        <v>343</v>
      </c>
      <c r="F376" s="1" t="s">
        <v>37</v>
      </c>
      <c r="G376" s="1"/>
      <c r="H376" s="18">
        <v>63037.5</v>
      </c>
      <c r="I376" s="2"/>
      <c r="J376" s="2"/>
      <c r="K376" s="2"/>
      <c r="L376" s="2"/>
      <c r="M376" s="2"/>
      <c r="N376" s="2"/>
      <c r="O376" s="2"/>
      <c r="P376" s="2">
        <v>63037.5</v>
      </c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>
        <f>60011.7+3025.8</f>
        <v>63037.5</v>
      </c>
      <c r="AC376" s="2"/>
      <c r="AD376" s="2"/>
      <c r="AE376" s="2"/>
      <c r="AF376" s="2"/>
      <c r="AG376" s="2"/>
      <c r="AH376" s="2"/>
      <c r="AI376" s="2">
        <f t="shared" si="45"/>
        <v>63037.5</v>
      </c>
      <c r="AJ376" s="2">
        <f t="shared" si="46"/>
        <v>63037.5</v>
      </c>
      <c r="AK376" s="2">
        <f t="shared" si="47"/>
        <v>63037.5</v>
      </c>
      <c r="AL376" s="2">
        <f t="shared" si="48"/>
        <v>0</v>
      </c>
      <c r="AM376" s="2">
        <f t="shared" si="49"/>
        <v>0</v>
      </c>
      <c r="AN376" s="2">
        <f t="shared" si="50"/>
        <v>0</v>
      </c>
    </row>
    <row r="377" spans="1:40" ht="31.5" customHeight="1" x14ac:dyDescent="0.25">
      <c r="A377" s="55">
        <v>503</v>
      </c>
      <c r="B377" s="11" t="s">
        <v>26</v>
      </c>
      <c r="C377" s="9" t="s">
        <v>192</v>
      </c>
      <c r="D377" s="6" t="s">
        <v>344</v>
      </c>
      <c r="E377" s="1" t="s">
        <v>345</v>
      </c>
      <c r="F377" s="1" t="s">
        <v>36</v>
      </c>
      <c r="G377" s="1"/>
      <c r="H377" s="18">
        <v>8700</v>
      </c>
      <c r="I377" s="2"/>
      <c r="J377" s="2"/>
      <c r="K377" s="2"/>
      <c r="L377" s="2"/>
      <c r="M377" s="2"/>
      <c r="N377" s="2"/>
      <c r="O377" s="2">
        <v>8700</v>
      </c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>
        <v>8700</v>
      </c>
      <c r="AB377" s="2"/>
      <c r="AC377" s="2"/>
      <c r="AD377" s="2"/>
      <c r="AE377" s="2"/>
      <c r="AF377" s="2"/>
      <c r="AG377" s="19"/>
      <c r="AH377" s="2"/>
      <c r="AI377" s="2">
        <f t="shared" si="45"/>
        <v>8700</v>
      </c>
      <c r="AJ377" s="2">
        <f t="shared" si="46"/>
        <v>8700</v>
      </c>
      <c r="AK377" s="2">
        <f t="shared" si="47"/>
        <v>8700</v>
      </c>
      <c r="AL377" s="2">
        <f t="shared" si="48"/>
        <v>0</v>
      </c>
      <c r="AM377" s="2">
        <f t="shared" si="49"/>
        <v>0</v>
      </c>
      <c r="AN377" s="2">
        <f t="shared" si="50"/>
        <v>0</v>
      </c>
    </row>
    <row r="378" spans="1:40" ht="30.75" customHeight="1" x14ac:dyDescent="0.25">
      <c r="A378" s="55">
        <v>504</v>
      </c>
      <c r="B378" s="11" t="s">
        <v>26</v>
      </c>
      <c r="C378" s="9" t="s">
        <v>42</v>
      </c>
      <c r="D378" s="9" t="s">
        <v>346</v>
      </c>
      <c r="E378" s="1" t="s">
        <v>347</v>
      </c>
      <c r="F378" s="1" t="s">
        <v>66</v>
      </c>
      <c r="G378" s="1"/>
      <c r="H378" s="18">
        <v>3564.38</v>
      </c>
      <c r="I378" s="2"/>
      <c r="J378" s="2"/>
      <c r="K378" s="2"/>
      <c r="L378" s="2"/>
      <c r="M378" s="2"/>
      <c r="N378" s="2"/>
      <c r="O378" s="2">
        <v>3564.38</v>
      </c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>
        <v>3564.38</v>
      </c>
      <c r="AB378" s="2"/>
      <c r="AC378" s="2"/>
      <c r="AD378" s="2"/>
      <c r="AE378" s="2"/>
      <c r="AF378" s="2"/>
      <c r="AG378" s="4"/>
      <c r="AH378" s="2"/>
      <c r="AI378" s="2">
        <f t="shared" si="45"/>
        <v>3564.38</v>
      </c>
      <c r="AJ378" s="2">
        <f t="shared" si="46"/>
        <v>3564.38</v>
      </c>
      <c r="AK378" s="2">
        <f t="shared" si="47"/>
        <v>3564.38</v>
      </c>
      <c r="AL378" s="2">
        <f t="shared" si="48"/>
        <v>0</v>
      </c>
      <c r="AM378" s="2">
        <f t="shared" si="49"/>
        <v>0</v>
      </c>
      <c r="AN378" s="2">
        <f t="shared" si="50"/>
        <v>0</v>
      </c>
    </row>
    <row r="379" spans="1:40" ht="31.5" customHeight="1" x14ac:dyDescent="0.25">
      <c r="A379" s="55">
        <v>505</v>
      </c>
      <c r="B379" s="11" t="s">
        <v>26</v>
      </c>
      <c r="C379" s="9" t="s">
        <v>51</v>
      </c>
      <c r="D379" s="6" t="s">
        <v>348</v>
      </c>
      <c r="E379" s="1" t="s">
        <v>349</v>
      </c>
      <c r="F379" s="1" t="s">
        <v>66</v>
      </c>
      <c r="G379" s="1"/>
      <c r="H379" s="18">
        <v>288.02</v>
      </c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4">
        <v>288.02</v>
      </c>
      <c r="AH379" s="2"/>
      <c r="AI379" s="2">
        <f t="shared" si="45"/>
        <v>0</v>
      </c>
      <c r="AJ379" s="2">
        <f t="shared" si="46"/>
        <v>0</v>
      </c>
      <c r="AK379" s="2">
        <f t="shared" si="47"/>
        <v>0</v>
      </c>
      <c r="AL379" s="2">
        <f t="shared" si="48"/>
        <v>0</v>
      </c>
      <c r="AM379" s="2">
        <f t="shared" si="49"/>
        <v>0</v>
      </c>
      <c r="AN379" s="2">
        <f t="shared" si="50"/>
        <v>0</v>
      </c>
    </row>
    <row r="380" spans="1:40" ht="30.75" customHeight="1" x14ac:dyDescent="0.25">
      <c r="A380" s="55">
        <v>506</v>
      </c>
      <c r="B380" s="11" t="s">
        <v>26</v>
      </c>
      <c r="C380" s="9" t="s">
        <v>51</v>
      </c>
      <c r="D380" s="6" t="s">
        <v>350</v>
      </c>
      <c r="E380" s="1" t="s">
        <v>351</v>
      </c>
      <c r="F380" s="1" t="s">
        <v>66</v>
      </c>
      <c r="G380" s="1"/>
      <c r="H380" s="18">
        <v>288.02</v>
      </c>
      <c r="I380" s="2"/>
      <c r="J380" s="2"/>
      <c r="K380" s="2"/>
      <c r="L380" s="2"/>
      <c r="M380" s="2"/>
      <c r="N380" s="2"/>
      <c r="O380" s="2"/>
      <c r="P380" s="18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4">
        <v>288.02</v>
      </c>
      <c r="AH380" s="2"/>
      <c r="AI380" s="2">
        <f t="shared" si="45"/>
        <v>0</v>
      </c>
      <c r="AJ380" s="2">
        <f t="shared" si="46"/>
        <v>0</v>
      </c>
      <c r="AK380" s="2">
        <f t="shared" si="47"/>
        <v>0</v>
      </c>
      <c r="AL380" s="2">
        <f t="shared" si="48"/>
        <v>0</v>
      </c>
      <c r="AM380" s="2">
        <f t="shared" si="49"/>
        <v>0</v>
      </c>
      <c r="AN380" s="2">
        <f t="shared" si="50"/>
        <v>0</v>
      </c>
    </row>
    <row r="381" spans="1:40" ht="30.75" customHeight="1" x14ac:dyDescent="0.25">
      <c r="A381" s="55">
        <v>507</v>
      </c>
      <c r="B381" s="11" t="s">
        <v>26</v>
      </c>
      <c r="C381" s="9" t="s">
        <v>51</v>
      </c>
      <c r="D381" s="9" t="s">
        <v>352</v>
      </c>
      <c r="E381" s="1" t="s">
        <v>353</v>
      </c>
      <c r="F381" s="1" t="s">
        <v>66</v>
      </c>
      <c r="G381" s="1"/>
      <c r="H381" s="18">
        <v>288.02</v>
      </c>
      <c r="I381" s="2"/>
      <c r="J381" s="2"/>
      <c r="K381" s="2"/>
      <c r="L381" s="2"/>
      <c r="M381" s="2"/>
      <c r="N381" s="2"/>
      <c r="O381" s="2"/>
      <c r="P381" s="18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4">
        <v>288.02</v>
      </c>
      <c r="AH381" s="2"/>
      <c r="AI381" s="2">
        <f t="shared" si="45"/>
        <v>0</v>
      </c>
      <c r="AJ381" s="2">
        <f t="shared" si="46"/>
        <v>0</v>
      </c>
      <c r="AK381" s="2">
        <f t="shared" si="47"/>
        <v>0</v>
      </c>
      <c r="AL381" s="2">
        <f t="shared" si="48"/>
        <v>0</v>
      </c>
      <c r="AM381" s="2">
        <f t="shared" si="49"/>
        <v>0</v>
      </c>
      <c r="AN381" s="2">
        <f t="shared" si="50"/>
        <v>0</v>
      </c>
    </row>
    <row r="382" spans="1:40" ht="30.75" customHeight="1" x14ac:dyDescent="0.25">
      <c r="A382" s="55">
        <v>508</v>
      </c>
      <c r="B382" s="11" t="s">
        <v>26</v>
      </c>
      <c r="C382" s="9" t="s">
        <v>51</v>
      </c>
      <c r="D382" s="6" t="s">
        <v>354</v>
      </c>
      <c r="E382" s="1" t="s">
        <v>355</v>
      </c>
      <c r="F382" s="1" t="s">
        <v>66</v>
      </c>
      <c r="G382" s="1"/>
      <c r="H382" s="18">
        <v>288.02</v>
      </c>
      <c r="I382" s="2"/>
      <c r="J382" s="2"/>
      <c r="K382" s="2"/>
      <c r="L382" s="2"/>
      <c r="M382" s="2"/>
      <c r="N382" s="2"/>
      <c r="O382" s="2"/>
      <c r="P382" s="18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4">
        <v>288.02</v>
      </c>
      <c r="AH382" s="2"/>
      <c r="AI382" s="2">
        <f t="shared" si="45"/>
        <v>0</v>
      </c>
      <c r="AJ382" s="2">
        <f t="shared" si="46"/>
        <v>0</v>
      </c>
      <c r="AK382" s="2">
        <f t="shared" si="47"/>
        <v>0</v>
      </c>
      <c r="AL382" s="2">
        <f t="shared" si="48"/>
        <v>0</v>
      </c>
      <c r="AM382" s="2">
        <f t="shared" si="49"/>
        <v>0</v>
      </c>
      <c r="AN382" s="2">
        <f t="shared" si="50"/>
        <v>0</v>
      </c>
    </row>
    <row r="383" spans="1:40" ht="31.5" customHeight="1" x14ac:dyDescent="0.25">
      <c r="A383" s="55">
        <v>509</v>
      </c>
      <c r="B383" s="11" t="s">
        <v>26</v>
      </c>
      <c r="C383" s="9" t="s">
        <v>51</v>
      </c>
      <c r="D383" s="6" t="s">
        <v>356</v>
      </c>
      <c r="E383" s="1" t="s">
        <v>365</v>
      </c>
      <c r="F383" s="1" t="s">
        <v>66</v>
      </c>
      <c r="G383" s="1"/>
      <c r="H383" s="18">
        <v>288.02</v>
      </c>
      <c r="I383" s="2"/>
      <c r="J383" s="2"/>
      <c r="K383" s="2"/>
      <c r="L383" s="2"/>
      <c r="M383" s="2"/>
      <c r="N383" s="2"/>
      <c r="O383" s="2"/>
      <c r="P383" s="18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4">
        <v>288.02</v>
      </c>
      <c r="AH383" s="2"/>
      <c r="AI383" s="2">
        <f t="shared" si="45"/>
        <v>0</v>
      </c>
      <c r="AJ383" s="2">
        <f t="shared" si="46"/>
        <v>0</v>
      </c>
      <c r="AK383" s="2">
        <f t="shared" si="47"/>
        <v>0</v>
      </c>
      <c r="AL383" s="2">
        <f t="shared" si="48"/>
        <v>0</v>
      </c>
      <c r="AM383" s="2">
        <f t="shared" si="49"/>
        <v>0</v>
      </c>
      <c r="AN383" s="2">
        <f t="shared" si="50"/>
        <v>0</v>
      </c>
    </row>
    <row r="384" spans="1:40" ht="30.75" customHeight="1" x14ac:dyDescent="0.25">
      <c r="A384" s="55">
        <v>510</v>
      </c>
      <c r="B384" s="11" t="s">
        <v>26</v>
      </c>
      <c r="C384" s="9" t="s">
        <v>51</v>
      </c>
      <c r="D384" s="6" t="s">
        <v>357</v>
      </c>
      <c r="E384" s="1" t="s">
        <v>366</v>
      </c>
      <c r="F384" s="1" t="s">
        <v>66</v>
      </c>
      <c r="G384" s="1"/>
      <c r="H384" s="18">
        <v>288.02</v>
      </c>
      <c r="I384" s="2"/>
      <c r="J384" s="2"/>
      <c r="K384" s="2"/>
      <c r="L384" s="2"/>
      <c r="M384" s="2"/>
      <c r="N384" s="2"/>
      <c r="O384" s="2"/>
      <c r="P384" s="18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4">
        <v>288.02</v>
      </c>
      <c r="AH384" s="2"/>
      <c r="AI384" s="2">
        <f t="shared" si="45"/>
        <v>0</v>
      </c>
      <c r="AJ384" s="2">
        <f t="shared" si="46"/>
        <v>0</v>
      </c>
      <c r="AK384" s="2">
        <f t="shared" si="47"/>
        <v>0</v>
      </c>
      <c r="AL384" s="2">
        <f t="shared" si="48"/>
        <v>0</v>
      </c>
      <c r="AM384" s="2">
        <f t="shared" si="49"/>
        <v>0</v>
      </c>
      <c r="AN384" s="2">
        <f t="shared" si="50"/>
        <v>0</v>
      </c>
    </row>
    <row r="385" spans="1:40" ht="31.5" customHeight="1" x14ac:dyDescent="0.25">
      <c r="A385" s="55">
        <v>511</v>
      </c>
      <c r="B385" s="11" t="s">
        <v>26</v>
      </c>
      <c r="C385" s="9" t="s">
        <v>51</v>
      </c>
      <c r="D385" s="6" t="s">
        <v>358</v>
      </c>
      <c r="E385" s="1" t="s">
        <v>367</v>
      </c>
      <c r="F385" s="1" t="s">
        <v>66</v>
      </c>
      <c r="G385" s="1"/>
      <c r="H385" s="18">
        <v>288.02</v>
      </c>
      <c r="I385" s="2"/>
      <c r="J385" s="2"/>
      <c r="K385" s="2"/>
      <c r="L385" s="2"/>
      <c r="M385" s="2"/>
      <c r="N385" s="2"/>
      <c r="O385" s="2"/>
      <c r="P385" s="18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4">
        <v>288.02</v>
      </c>
      <c r="AH385" s="2"/>
      <c r="AI385" s="2">
        <f t="shared" si="45"/>
        <v>0</v>
      </c>
      <c r="AJ385" s="2">
        <f t="shared" si="46"/>
        <v>0</v>
      </c>
      <c r="AK385" s="2">
        <f t="shared" si="47"/>
        <v>0</v>
      </c>
      <c r="AL385" s="2">
        <f t="shared" si="48"/>
        <v>0</v>
      </c>
      <c r="AM385" s="2">
        <f t="shared" si="49"/>
        <v>0</v>
      </c>
      <c r="AN385" s="2">
        <f t="shared" si="50"/>
        <v>0</v>
      </c>
    </row>
    <row r="386" spans="1:40" ht="30.75" customHeight="1" x14ac:dyDescent="0.25">
      <c r="A386" s="55">
        <v>512</v>
      </c>
      <c r="B386" s="11" t="s">
        <v>26</v>
      </c>
      <c r="C386" s="9" t="s">
        <v>51</v>
      </c>
      <c r="D386" s="6" t="s">
        <v>359</v>
      </c>
      <c r="E386" s="1" t="s">
        <v>368</v>
      </c>
      <c r="F386" s="1" t="s">
        <v>66</v>
      </c>
      <c r="G386" s="1"/>
      <c r="H386" s="18">
        <v>288.02</v>
      </c>
      <c r="I386" s="2"/>
      <c r="J386" s="2"/>
      <c r="K386" s="2"/>
      <c r="L386" s="2"/>
      <c r="M386" s="2"/>
      <c r="N386" s="2"/>
      <c r="O386" s="2"/>
      <c r="P386" s="18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4">
        <v>288.02</v>
      </c>
      <c r="AH386" s="2"/>
      <c r="AI386" s="2">
        <f t="shared" si="45"/>
        <v>0</v>
      </c>
      <c r="AJ386" s="2">
        <f t="shared" si="46"/>
        <v>0</v>
      </c>
      <c r="AK386" s="2">
        <f t="shared" si="47"/>
        <v>0</v>
      </c>
      <c r="AL386" s="2">
        <f t="shared" si="48"/>
        <v>0</v>
      </c>
      <c r="AM386" s="2">
        <f t="shared" si="49"/>
        <v>0</v>
      </c>
      <c r="AN386" s="2">
        <f t="shared" si="50"/>
        <v>0</v>
      </c>
    </row>
    <row r="387" spans="1:40" ht="31.5" customHeight="1" x14ac:dyDescent="0.25">
      <c r="A387" s="55">
        <v>513</v>
      </c>
      <c r="B387" s="11" t="s">
        <v>26</v>
      </c>
      <c r="C387" s="9" t="s">
        <v>51</v>
      </c>
      <c r="D387" s="6" t="s">
        <v>360</v>
      </c>
      <c r="E387" s="1" t="s">
        <v>369</v>
      </c>
      <c r="F387" s="1" t="s">
        <v>66</v>
      </c>
      <c r="G387" s="1"/>
      <c r="H387" s="18">
        <v>288.02</v>
      </c>
      <c r="I387" s="2"/>
      <c r="J387" s="2"/>
      <c r="K387" s="2"/>
      <c r="L387" s="2"/>
      <c r="M387" s="2"/>
      <c r="N387" s="2"/>
      <c r="O387" s="2"/>
      <c r="P387" s="18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4">
        <v>288.02</v>
      </c>
      <c r="AH387" s="2"/>
      <c r="AI387" s="2">
        <f t="shared" si="45"/>
        <v>0</v>
      </c>
      <c r="AJ387" s="2">
        <f t="shared" si="46"/>
        <v>0</v>
      </c>
      <c r="AK387" s="2">
        <f t="shared" si="47"/>
        <v>0</v>
      </c>
      <c r="AL387" s="2">
        <f t="shared" si="48"/>
        <v>0</v>
      </c>
      <c r="AM387" s="2">
        <f t="shared" si="49"/>
        <v>0</v>
      </c>
      <c r="AN387" s="2">
        <f t="shared" si="50"/>
        <v>0</v>
      </c>
    </row>
    <row r="388" spans="1:40" ht="31.5" customHeight="1" x14ac:dyDescent="0.25">
      <c r="A388" s="55">
        <v>514</v>
      </c>
      <c r="B388" s="1" t="s">
        <v>26</v>
      </c>
      <c r="C388" s="9" t="s">
        <v>51</v>
      </c>
      <c r="D388" s="6" t="s">
        <v>361</v>
      </c>
      <c r="E388" s="1" t="s">
        <v>370</v>
      </c>
      <c r="F388" s="1" t="s">
        <v>66</v>
      </c>
      <c r="G388" s="1"/>
      <c r="H388" s="18">
        <v>288.01</v>
      </c>
      <c r="I388" s="2"/>
      <c r="J388" s="2"/>
      <c r="K388" s="2"/>
      <c r="L388" s="2"/>
      <c r="M388" s="2"/>
      <c r="N388" s="2"/>
      <c r="O388" s="2"/>
      <c r="P388" s="18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4">
        <v>288.01</v>
      </c>
      <c r="AH388" s="2"/>
      <c r="AI388" s="2">
        <f t="shared" si="45"/>
        <v>0</v>
      </c>
      <c r="AJ388" s="2">
        <f t="shared" si="46"/>
        <v>0</v>
      </c>
      <c r="AK388" s="2">
        <f t="shared" si="47"/>
        <v>0</v>
      </c>
      <c r="AL388" s="2">
        <f t="shared" si="48"/>
        <v>0</v>
      </c>
      <c r="AM388" s="2">
        <f t="shared" si="49"/>
        <v>0</v>
      </c>
      <c r="AN388" s="2">
        <f t="shared" si="50"/>
        <v>0</v>
      </c>
    </row>
    <row r="389" spans="1:40" ht="31.5" customHeight="1" x14ac:dyDescent="0.25">
      <c r="A389" s="55">
        <v>515</v>
      </c>
      <c r="B389" s="11" t="s">
        <v>26</v>
      </c>
      <c r="C389" s="38" t="s">
        <v>51</v>
      </c>
      <c r="D389" s="6" t="s">
        <v>362</v>
      </c>
      <c r="E389" s="1" t="s">
        <v>371</v>
      </c>
      <c r="F389" s="1" t="s">
        <v>66</v>
      </c>
      <c r="G389" s="1"/>
      <c r="H389" s="18">
        <v>288.01</v>
      </c>
      <c r="I389" s="2"/>
      <c r="J389" s="2"/>
      <c r="K389" s="2"/>
      <c r="L389" s="2"/>
      <c r="M389" s="2"/>
      <c r="N389" s="2"/>
      <c r="O389" s="2"/>
      <c r="P389" s="15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4">
        <v>288.01</v>
      </c>
      <c r="AH389" s="2"/>
      <c r="AI389" s="2">
        <f t="shared" si="45"/>
        <v>0</v>
      </c>
      <c r="AJ389" s="2">
        <f t="shared" si="46"/>
        <v>0</v>
      </c>
      <c r="AK389" s="2">
        <f t="shared" si="47"/>
        <v>0</v>
      </c>
      <c r="AL389" s="2">
        <f t="shared" si="48"/>
        <v>0</v>
      </c>
      <c r="AM389" s="2">
        <f t="shared" si="49"/>
        <v>0</v>
      </c>
      <c r="AN389" s="2">
        <f t="shared" si="50"/>
        <v>0</v>
      </c>
    </row>
    <row r="390" spans="1:40" ht="30.75" customHeight="1" x14ac:dyDescent="0.25">
      <c r="A390" s="55">
        <v>516</v>
      </c>
      <c r="B390" s="11" t="s">
        <v>26</v>
      </c>
      <c r="C390" s="9" t="s">
        <v>51</v>
      </c>
      <c r="D390" s="6" t="s">
        <v>363</v>
      </c>
      <c r="E390" s="1" t="s">
        <v>372</v>
      </c>
      <c r="F390" s="1" t="s">
        <v>66</v>
      </c>
      <c r="G390" s="1"/>
      <c r="H390" s="18">
        <v>288.01</v>
      </c>
      <c r="I390" s="2"/>
      <c r="J390" s="2"/>
      <c r="K390" s="2"/>
      <c r="L390" s="2"/>
      <c r="M390" s="2"/>
      <c r="N390" s="2"/>
      <c r="O390" s="2"/>
      <c r="P390" s="37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4">
        <v>288.01</v>
      </c>
      <c r="AH390" s="2"/>
      <c r="AI390" s="2">
        <f t="shared" si="45"/>
        <v>0</v>
      </c>
      <c r="AJ390" s="2">
        <f t="shared" si="46"/>
        <v>0</v>
      </c>
      <c r="AK390" s="2">
        <f t="shared" si="47"/>
        <v>0</v>
      </c>
      <c r="AL390" s="2">
        <f t="shared" si="48"/>
        <v>0</v>
      </c>
      <c r="AM390" s="2">
        <f t="shared" si="49"/>
        <v>0</v>
      </c>
      <c r="AN390" s="2">
        <f t="shared" si="50"/>
        <v>0</v>
      </c>
    </row>
    <row r="391" spans="1:40" ht="30.75" customHeight="1" x14ac:dyDescent="0.25">
      <c r="A391" s="55">
        <v>517</v>
      </c>
      <c r="B391" s="11" t="s">
        <v>26</v>
      </c>
      <c r="C391" s="6" t="s">
        <v>160</v>
      </c>
      <c r="D391" s="6" t="s">
        <v>364</v>
      </c>
      <c r="E391" s="1" t="s">
        <v>373</v>
      </c>
      <c r="F391" s="1" t="s">
        <v>37</v>
      </c>
      <c r="G391" s="1"/>
      <c r="H391" s="18">
        <v>1150</v>
      </c>
      <c r="I391" s="16"/>
      <c r="J391" s="16"/>
      <c r="K391" s="16"/>
      <c r="L391" s="16"/>
      <c r="M391" s="16"/>
      <c r="N391" s="16"/>
      <c r="O391" s="4">
        <v>1150</v>
      </c>
      <c r="P391" s="18"/>
      <c r="Q391" s="16"/>
      <c r="R391" s="16"/>
      <c r="S391" s="16"/>
      <c r="T391" s="4"/>
      <c r="U391" s="16"/>
      <c r="V391" s="16"/>
      <c r="W391" s="16"/>
      <c r="X391" s="16"/>
      <c r="Y391" s="16"/>
      <c r="Z391" s="16"/>
      <c r="AA391" s="4">
        <v>1150</v>
      </c>
      <c r="AB391" s="4"/>
      <c r="AC391" s="16"/>
      <c r="AD391" s="16"/>
      <c r="AE391" s="16"/>
      <c r="AF391" s="4"/>
      <c r="AG391" s="28"/>
      <c r="AH391" s="16"/>
      <c r="AI391" s="2">
        <f t="shared" si="45"/>
        <v>1150</v>
      </c>
      <c r="AJ391" s="2">
        <f t="shared" si="46"/>
        <v>1150</v>
      </c>
      <c r="AK391" s="2">
        <f t="shared" si="47"/>
        <v>1150</v>
      </c>
      <c r="AL391" s="2">
        <f t="shared" si="48"/>
        <v>0</v>
      </c>
      <c r="AM391" s="2">
        <f t="shared" si="49"/>
        <v>0</v>
      </c>
      <c r="AN391" s="2">
        <f t="shared" si="50"/>
        <v>0</v>
      </c>
    </row>
    <row r="392" spans="1:40" ht="31.5" customHeight="1" x14ac:dyDescent="0.25">
      <c r="A392" s="55">
        <v>518</v>
      </c>
      <c r="B392" s="11" t="s">
        <v>26</v>
      </c>
      <c r="C392" s="6" t="s">
        <v>42</v>
      </c>
      <c r="D392" s="6" t="s">
        <v>348</v>
      </c>
      <c r="E392" s="1" t="s">
        <v>349</v>
      </c>
      <c r="F392" s="1" t="s">
        <v>66</v>
      </c>
      <c r="G392" s="1"/>
      <c r="H392" s="18">
        <v>288.02</v>
      </c>
      <c r="I392" s="16"/>
      <c r="J392" s="16"/>
      <c r="K392" s="16"/>
      <c r="L392" s="16"/>
      <c r="M392" s="16"/>
      <c r="N392" s="16"/>
      <c r="O392" s="4">
        <v>288.02</v>
      </c>
      <c r="P392" s="37"/>
      <c r="Q392" s="4"/>
      <c r="R392" s="16"/>
      <c r="S392" s="16"/>
      <c r="T392" s="4"/>
      <c r="U392" s="16"/>
      <c r="V392" s="16"/>
      <c r="W392" s="16"/>
      <c r="X392" s="16"/>
      <c r="Y392" s="16"/>
      <c r="Z392" s="16"/>
      <c r="AA392" s="4">
        <v>288.02</v>
      </c>
      <c r="AB392" s="16"/>
      <c r="AC392" s="4"/>
      <c r="AD392" s="16"/>
      <c r="AE392" s="16"/>
      <c r="AF392" s="4"/>
      <c r="AG392" s="28"/>
      <c r="AH392" s="16"/>
      <c r="AI392" s="2">
        <f t="shared" ref="AI392:AI455" si="51">H392-AG392+AH392</f>
        <v>288.02</v>
      </c>
      <c r="AJ392" s="2">
        <f t="shared" ref="AJ392:AJ455" si="52">SUM(I392:T392)</f>
        <v>288.02</v>
      </c>
      <c r="AK392" s="2">
        <f t="shared" ref="AK392:AK455" si="53">SUM(U392:AF392)</f>
        <v>288.02</v>
      </c>
      <c r="AL392" s="2">
        <f t="shared" si="48"/>
        <v>0</v>
      </c>
      <c r="AM392" s="2">
        <f t="shared" si="49"/>
        <v>0</v>
      </c>
      <c r="AN392" s="2">
        <f t="shared" si="50"/>
        <v>0</v>
      </c>
    </row>
    <row r="393" spans="1:40" ht="31.5" customHeight="1" x14ac:dyDescent="0.25">
      <c r="A393" s="55">
        <v>519</v>
      </c>
      <c r="B393" s="11" t="s">
        <v>26</v>
      </c>
      <c r="C393" s="9" t="s">
        <v>42</v>
      </c>
      <c r="D393" s="6" t="s">
        <v>350</v>
      </c>
      <c r="E393" s="1" t="s">
        <v>351</v>
      </c>
      <c r="F393" s="1" t="s">
        <v>66</v>
      </c>
      <c r="G393" s="1"/>
      <c r="H393" s="18">
        <v>288.02</v>
      </c>
      <c r="I393" s="16"/>
      <c r="J393" s="16"/>
      <c r="K393" s="16"/>
      <c r="L393" s="16"/>
      <c r="M393" s="16"/>
      <c r="N393" s="16"/>
      <c r="O393" s="4">
        <v>288.02</v>
      </c>
      <c r="P393" s="37"/>
      <c r="Q393" s="4"/>
      <c r="R393" s="16"/>
      <c r="S393" s="16"/>
      <c r="T393" s="4"/>
      <c r="U393" s="16"/>
      <c r="V393" s="16"/>
      <c r="W393" s="16"/>
      <c r="X393" s="16"/>
      <c r="Y393" s="16"/>
      <c r="Z393" s="16"/>
      <c r="AA393" s="4">
        <v>288.02</v>
      </c>
      <c r="AB393" s="16"/>
      <c r="AC393" s="4"/>
      <c r="AD393" s="16"/>
      <c r="AE393" s="16"/>
      <c r="AF393" s="4"/>
      <c r="AG393" s="16"/>
      <c r="AH393" s="16"/>
      <c r="AI393" s="2">
        <f t="shared" si="51"/>
        <v>288.02</v>
      </c>
      <c r="AJ393" s="2">
        <f t="shared" si="52"/>
        <v>288.02</v>
      </c>
      <c r="AK393" s="2">
        <f t="shared" si="53"/>
        <v>288.02</v>
      </c>
      <c r="AL393" s="2">
        <f t="shared" si="48"/>
        <v>0</v>
      </c>
      <c r="AM393" s="2">
        <f t="shared" si="49"/>
        <v>0</v>
      </c>
      <c r="AN393" s="2">
        <f t="shared" si="50"/>
        <v>0</v>
      </c>
    </row>
    <row r="394" spans="1:40" ht="31.5" customHeight="1" x14ac:dyDescent="0.25">
      <c r="A394" s="55">
        <v>520</v>
      </c>
      <c r="B394" s="11" t="s">
        <v>26</v>
      </c>
      <c r="C394" s="9" t="s">
        <v>42</v>
      </c>
      <c r="D394" s="6" t="s">
        <v>352</v>
      </c>
      <c r="E394" s="1" t="s">
        <v>353</v>
      </c>
      <c r="F394" s="1" t="s">
        <v>66</v>
      </c>
      <c r="G394" s="1"/>
      <c r="H394" s="18">
        <v>288.02</v>
      </c>
      <c r="I394" s="16"/>
      <c r="J394" s="16"/>
      <c r="K394" s="16"/>
      <c r="L394" s="16"/>
      <c r="M394" s="16"/>
      <c r="N394" s="16"/>
      <c r="O394" s="4">
        <v>288.02</v>
      </c>
      <c r="P394" s="37"/>
      <c r="Q394" s="4"/>
      <c r="R394" s="16"/>
      <c r="S394" s="16"/>
      <c r="T394" s="16"/>
      <c r="U394" s="16"/>
      <c r="V394" s="16"/>
      <c r="W394" s="16"/>
      <c r="X394" s="16"/>
      <c r="Y394" s="16"/>
      <c r="Z394" s="16"/>
      <c r="AA394" s="4">
        <v>288.02</v>
      </c>
      <c r="AB394" s="16"/>
      <c r="AC394" s="4"/>
      <c r="AD394" s="16"/>
      <c r="AE394" s="16"/>
      <c r="AF394" s="16"/>
      <c r="AG394" s="16"/>
      <c r="AH394" s="16"/>
      <c r="AI394" s="2">
        <f t="shared" si="51"/>
        <v>288.02</v>
      </c>
      <c r="AJ394" s="2">
        <f t="shared" si="52"/>
        <v>288.02</v>
      </c>
      <c r="AK394" s="2">
        <f t="shared" si="53"/>
        <v>288.02</v>
      </c>
      <c r="AL394" s="2">
        <f t="shared" si="48"/>
        <v>0</v>
      </c>
      <c r="AM394" s="2">
        <f t="shared" si="49"/>
        <v>0</v>
      </c>
      <c r="AN394" s="2">
        <f t="shared" si="50"/>
        <v>0</v>
      </c>
    </row>
    <row r="395" spans="1:40" ht="31.5" customHeight="1" x14ac:dyDescent="0.25">
      <c r="A395" s="55">
        <v>521</v>
      </c>
      <c r="B395" s="11" t="s">
        <v>26</v>
      </c>
      <c r="C395" s="9" t="s">
        <v>42</v>
      </c>
      <c r="D395" s="6" t="s">
        <v>354</v>
      </c>
      <c r="E395" s="1" t="s">
        <v>355</v>
      </c>
      <c r="F395" s="1" t="s">
        <v>66</v>
      </c>
      <c r="G395" s="1"/>
      <c r="H395" s="4">
        <v>288.02</v>
      </c>
      <c r="I395" s="16"/>
      <c r="J395" s="16"/>
      <c r="K395" s="16"/>
      <c r="L395" s="16"/>
      <c r="M395" s="16"/>
      <c r="N395" s="16"/>
      <c r="O395" s="4">
        <v>288.02</v>
      </c>
      <c r="P395" s="37"/>
      <c r="Q395" s="4"/>
      <c r="R395" s="16"/>
      <c r="S395" s="4"/>
      <c r="T395" s="16"/>
      <c r="U395" s="16"/>
      <c r="V395" s="16"/>
      <c r="W395" s="16"/>
      <c r="X395" s="16"/>
      <c r="Y395" s="16"/>
      <c r="Z395" s="16"/>
      <c r="AA395" s="4">
        <v>288.02</v>
      </c>
      <c r="AB395" s="16"/>
      <c r="AC395" s="4"/>
      <c r="AD395" s="16"/>
      <c r="AE395" s="4"/>
      <c r="AF395" s="16"/>
      <c r="AG395" s="16"/>
      <c r="AH395" s="16"/>
      <c r="AI395" s="2">
        <f t="shared" si="51"/>
        <v>288.02</v>
      </c>
      <c r="AJ395" s="2">
        <f t="shared" si="52"/>
        <v>288.02</v>
      </c>
      <c r="AK395" s="2">
        <f t="shared" si="53"/>
        <v>288.02</v>
      </c>
      <c r="AL395" s="2">
        <f t="shared" si="48"/>
        <v>0</v>
      </c>
      <c r="AM395" s="2">
        <f t="shared" si="49"/>
        <v>0</v>
      </c>
      <c r="AN395" s="2">
        <f t="shared" si="50"/>
        <v>0</v>
      </c>
    </row>
    <row r="396" spans="1:40" ht="31.5" customHeight="1" x14ac:dyDescent="0.25">
      <c r="A396" s="55">
        <v>522</v>
      </c>
      <c r="B396" s="11" t="s">
        <v>26</v>
      </c>
      <c r="C396" s="9" t="s">
        <v>42</v>
      </c>
      <c r="D396" s="6" t="s">
        <v>356</v>
      </c>
      <c r="E396" s="1" t="s">
        <v>365</v>
      </c>
      <c r="F396" s="1" t="s">
        <v>66</v>
      </c>
      <c r="G396" s="1"/>
      <c r="H396" s="4">
        <v>288.02</v>
      </c>
      <c r="I396" s="16"/>
      <c r="J396" s="16"/>
      <c r="K396" s="16"/>
      <c r="L396" s="16"/>
      <c r="M396" s="16"/>
      <c r="N396" s="16"/>
      <c r="O396" s="4">
        <v>288.02</v>
      </c>
      <c r="P396" s="18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4">
        <v>288.02</v>
      </c>
      <c r="AB396" s="4"/>
      <c r="AC396" s="16"/>
      <c r="AD396" s="16"/>
      <c r="AE396" s="16"/>
      <c r="AF396" s="16"/>
      <c r="AG396" s="16"/>
      <c r="AH396" s="16"/>
      <c r="AI396" s="2">
        <f t="shared" si="51"/>
        <v>288.02</v>
      </c>
      <c r="AJ396" s="2">
        <f t="shared" si="52"/>
        <v>288.02</v>
      </c>
      <c r="AK396" s="2">
        <f t="shared" si="53"/>
        <v>288.02</v>
      </c>
      <c r="AL396" s="2">
        <f t="shared" si="48"/>
        <v>0</v>
      </c>
      <c r="AM396" s="2">
        <f t="shared" si="49"/>
        <v>0</v>
      </c>
      <c r="AN396" s="2">
        <f t="shared" si="50"/>
        <v>0</v>
      </c>
    </row>
    <row r="397" spans="1:40" ht="31.5" customHeight="1" x14ac:dyDescent="0.25">
      <c r="A397" s="55">
        <v>523</v>
      </c>
      <c r="B397" s="11" t="s">
        <v>26</v>
      </c>
      <c r="C397" s="9" t="s">
        <v>42</v>
      </c>
      <c r="D397" s="6" t="s">
        <v>357</v>
      </c>
      <c r="E397" s="1" t="s">
        <v>366</v>
      </c>
      <c r="F397" s="1" t="s">
        <v>66</v>
      </c>
      <c r="G397" s="1"/>
      <c r="H397" s="4">
        <v>288.02</v>
      </c>
      <c r="I397" s="16"/>
      <c r="J397" s="16"/>
      <c r="K397" s="16"/>
      <c r="L397" s="16"/>
      <c r="M397" s="16"/>
      <c r="N397" s="16"/>
      <c r="O397" s="4">
        <v>288.02</v>
      </c>
      <c r="P397" s="37"/>
      <c r="Q397" s="4"/>
      <c r="R397" s="4"/>
      <c r="S397" s="16"/>
      <c r="T397" s="16"/>
      <c r="U397" s="16"/>
      <c r="V397" s="16"/>
      <c r="W397" s="16"/>
      <c r="X397" s="16"/>
      <c r="Y397" s="16"/>
      <c r="Z397" s="16"/>
      <c r="AA397" s="4">
        <v>288.02</v>
      </c>
      <c r="AB397" s="16"/>
      <c r="AC397" s="4"/>
      <c r="AD397" s="4"/>
      <c r="AE397" s="16"/>
      <c r="AF397" s="16"/>
      <c r="AG397" s="16"/>
      <c r="AH397" s="16"/>
      <c r="AI397" s="2">
        <f t="shared" si="51"/>
        <v>288.02</v>
      </c>
      <c r="AJ397" s="2">
        <f>SUM(I397:T397)</f>
        <v>288.02</v>
      </c>
      <c r="AK397" s="2">
        <f>SUM(U397:AF397)</f>
        <v>288.02</v>
      </c>
      <c r="AL397" s="2">
        <f t="shared" si="48"/>
        <v>0</v>
      </c>
      <c r="AM397" s="2">
        <f t="shared" si="49"/>
        <v>0</v>
      </c>
      <c r="AN397" s="2">
        <f t="shared" si="50"/>
        <v>0</v>
      </c>
    </row>
    <row r="398" spans="1:40" ht="31.5" customHeight="1" x14ac:dyDescent="0.25">
      <c r="A398" s="55">
        <v>524</v>
      </c>
      <c r="B398" s="11" t="s">
        <v>26</v>
      </c>
      <c r="C398" s="9" t="s">
        <v>42</v>
      </c>
      <c r="D398" s="6" t="s">
        <v>358</v>
      </c>
      <c r="E398" s="1" t="s">
        <v>367</v>
      </c>
      <c r="F398" s="1" t="s">
        <v>66</v>
      </c>
      <c r="G398" s="1"/>
      <c r="H398" s="4">
        <v>288.02</v>
      </c>
      <c r="I398" s="16"/>
      <c r="J398" s="16"/>
      <c r="K398" s="16"/>
      <c r="L398" s="16"/>
      <c r="M398" s="16"/>
      <c r="N398" s="16"/>
      <c r="O398" s="4">
        <v>288.02</v>
      </c>
      <c r="P398" s="37"/>
      <c r="Q398" s="4"/>
      <c r="R398" s="16"/>
      <c r="S398" s="16"/>
      <c r="T398" s="16"/>
      <c r="U398" s="16"/>
      <c r="V398" s="16"/>
      <c r="W398" s="16"/>
      <c r="X398" s="16"/>
      <c r="Y398" s="16"/>
      <c r="Z398" s="16"/>
      <c r="AA398" s="4">
        <v>288.02</v>
      </c>
      <c r="AB398" s="16"/>
      <c r="AC398" s="4"/>
      <c r="AD398" s="16"/>
      <c r="AE398" s="16"/>
      <c r="AF398" s="16"/>
      <c r="AG398" s="16"/>
      <c r="AH398" s="16"/>
      <c r="AI398" s="2">
        <f t="shared" si="51"/>
        <v>288.02</v>
      </c>
      <c r="AJ398" s="2">
        <f t="shared" si="52"/>
        <v>288.02</v>
      </c>
      <c r="AK398" s="2">
        <f t="shared" si="53"/>
        <v>288.02</v>
      </c>
      <c r="AL398" s="2">
        <f t="shared" si="48"/>
        <v>0</v>
      </c>
      <c r="AM398" s="2">
        <f t="shared" si="49"/>
        <v>0</v>
      </c>
      <c r="AN398" s="2">
        <f t="shared" si="50"/>
        <v>0</v>
      </c>
    </row>
    <row r="399" spans="1:40" ht="31.5" customHeight="1" x14ac:dyDescent="0.25">
      <c r="A399" s="55">
        <v>525</v>
      </c>
      <c r="B399" s="11" t="s">
        <v>26</v>
      </c>
      <c r="C399" s="9" t="s">
        <v>42</v>
      </c>
      <c r="D399" s="6" t="s">
        <v>359</v>
      </c>
      <c r="E399" s="1" t="s">
        <v>368</v>
      </c>
      <c r="F399" s="1" t="s">
        <v>66</v>
      </c>
      <c r="G399" s="1"/>
      <c r="H399" s="4">
        <v>288.02</v>
      </c>
      <c r="I399" s="16"/>
      <c r="J399" s="16"/>
      <c r="K399" s="16"/>
      <c r="L399" s="16"/>
      <c r="M399" s="16"/>
      <c r="N399" s="16"/>
      <c r="O399" s="4">
        <v>288.02</v>
      </c>
      <c r="P399" s="37"/>
      <c r="Q399" s="4"/>
      <c r="R399" s="16"/>
      <c r="S399" s="16"/>
      <c r="T399" s="16"/>
      <c r="U399" s="16"/>
      <c r="V399" s="16"/>
      <c r="W399" s="16"/>
      <c r="X399" s="16"/>
      <c r="Y399" s="16"/>
      <c r="Z399" s="16"/>
      <c r="AA399" s="4">
        <v>288.02</v>
      </c>
      <c r="AB399" s="16"/>
      <c r="AC399" s="4"/>
      <c r="AD399" s="16"/>
      <c r="AE399" s="16"/>
      <c r="AF399" s="16"/>
      <c r="AG399" s="16"/>
      <c r="AH399" s="16"/>
      <c r="AI399" s="2">
        <f t="shared" si="51"/>
        <v>288.02</v>
      </c>
      <c r="AJ399" s="2">
        <f t="shared" si="52"/>
        <v>288.02</v>
      </c>
      <c r="AK399" s="2">
        <f t="shared" si="53"/>
        <v>288.02</v>
      </c>
      <c r="AL399" s="2">
        <f t="shared" si="48"/>
        <v>0</v>
      </c>
      <c r="AM399" s="2">
        <f t="shared" si="49"/>
        <v>0</v>
      </c>
      <c r="AN399" s="2">
        <f t="shared" si="50"/>
        <v>0</v>
      </c>
    </row>
    <row r="400" spans="1:40" ht="31.5" customHeight="1" x14ac:dyDescent="0.25">
      <c r="A400" s="55">
        <v>526</v>
      </c>
      <c r="B400" s="11" t="s">
        <v>26</v>
      </c>
      <c r="C400" s="9" t="s">
        <v>42</v>
      </c>
      <c r="D400" s="6" t="s">
        <v>360</v>
      </c>
      <c r="E400" s="1" t="s">
        <v>369</v>
      </c>
      <c r="F400" s="1" t="s">
        <v>66</v>
      </c>
      <c r="G400" s="1"/>
      <c r="H400" s="4">
        <v>288.02</v>
      </c>
      <c r="I400" s="16"/>
      <c r="J400" s="16"/>
      <c r="K400" s="16"/>
      <c r="L400" s="16"/>
      <c r="M400" s="16"/>
      <c r="N400" s="16"/>
      <c r="O400" s="4">
        <v>288.02</v>
      </c>
      <c r="P400" s="15"/>
      <c r="Q400" s="4"/>
      <c r="R400" s="16"/>
      <c r="S400" s="16"/>
      <c r="T400" s="16"/>
      <c r="U400" s="16"/>
      <c r="V400" s="16"/>
      <c r="W400" s="16"/>
      <c r="X400" s="16"/>
      <c r="Y400" s="16"/>
      <c r="Z400" s="16"/>
      <c r="AA400" s="4">
        <v>288.02</v>
      </c>
      <c r="AB400" s="16"/>
      <c r="AC400" s="4"/>
      <c r="AD400" s="16"/>
      <c r="AE400" s="16"/>
      <c r="AF400" s="16"/>
      <c r="AG400" s="16"/>
      <c r="AH400" s="16"/>
      <c r="AI400" s="2">
        <f t="shared" si="51"/>
        <v>288.02</v>
      </c>
      <c r="AJ400" s="2">
        <f t="shared" si="52"/>
        <v>288.02</v>
      </c>
      <c r="AK400" s="2">
        <f t="shared" si="53"/>
        <v>288.02</v>
      </c>
      <c r="AL400" s="2">
        <f t="shared" si="48"/>
        <v>0</v>
      </c>
      <c r="AM400" s="2">
        <f t="shared" si="49"/>
        <v>0</v>
      </c>
      <c r="AN400" s="2">
        <f t="shared" si="50"/>
        <v>0</v>
      </c>
    </row>
    <row r="401" spans="1:40" ht="31.5" customHeight="1" x14ac:dyDescent="0.25">
      <c r="A401" s="55">
        <v>527</v>
      </c>
      <c r="B401" s="11" t="s">
        <v>26</v>
      </c>
      <c r="C401" s="9" t="s">
        <v>42</v>
      </c>
      <c r="D401" s="6" t="s">
        <v>361</v>
      </c>
      <c r="E401" s="1" t="s">
        <v>370</v>
      </c>
      <c r="F401" s="1" t="s">
        <v>66</v>
      </c>
      <c r="G401" s="1"/>
      <c r="H401" s="4">
        <v>288.01</v>
      </c>
      <c r="I401" s="16"/>
      <c r="J401" s="16"/>
      <c r="K401" s="16"/>
      <c r="L401" s="16"/>
      <c r="M401" s="16"/>
      <c r="N401" s="16"/>
      <c r="O401" s="4">
        <v>288.01</v>
      </c>
      <c r="P401" s="37"/>
      <c r="Q401" s="4"/>
      <c r="R401" s="16"/>
      <c r="S401" s="16"/>
      <c r="T401" s="16"/>
      <c r="U401" s="16"/>
      <c r="V401" s="16"/>
      <c r="W401" s="16"/>
      <c r="X401" s="16"/>
      <c r="Y401" s="16"/>
      <c r="Z401" s="16"/>
      <c r="AA401" s="4">
        <v>288.01</v>
      </c>
      <c r="AB401" s="16"/>
      <c r="AC401" s="4"/>
      <c r="AD401" s="16"/>
      <c r="AE401" s="16"/>
      <c r="AF401" s="16"/>
      <c r="AG401" s="16"/>
      <c r="AH401" s="16"/>
      <c r="AI401" s="2">
        <f t="shared" si="51"/>
        <v>288.01</v>
      </c>
      <c r="AJ401" s="2">
        <f t="shared" si="52"/>
        <v>288.01</v>
      </c>
      <c r="AK401" s="2">
        <f t="shared" si="53"/>
        <v>288.01</v>
      </c>
      <c r="AL401" s="2">
        <f t="shared" si="48"/>
        <v>0</v>
      </c>
      <c r="AM401" s="2">
        <f t="shared" si="49"/>
        <v>0</v>
      </c>
      <c r="AN401" s="2">
        <f t="shared" si="50"/>
        <v>0</v>
      </c>
    </row>
    <row r="402" spans="1:40" ht="31.5" customHeight="1" x14ac:dyDescent="0.25">
      <c r="A402" s="55">
        <v>528</v>
      </c>
      <c r="B402" s="11" t="s">
        <v>26</v>
      </c>
      <c r="C402" s="9" t="s">
        <v>42</v>
      </c>
      <c r="D402" s="6" t="s">
        <v>362</v>
      </c>
      <c r="E402" s="1" t="s">
        <v>371</v>
      </c>
      <c r="F402" s="1" t="s">
        <v>66</v>
      </c>
      <c r="G402" s="1"/>
      <c r="H402" s="4">
        <v>288.01</v>
      </c>
      <c r="I402" s="16"/>
      <c r="J402" s="16"/>
      <c r="K402" s="16"/>
      <c r="L402" s="16"/>
      <c r="M402" s="16"/>
      <c r="N402" s="16"/>
      <c r="O402" s="4">
        <v>288.01</v>
      </c>
      <c r="P402" s="37"/>
      <c r="Q402" s="4"/>
      <c r="R402" s="16"/>
      <c r="S402" s="16"/>
      <c r="T402" s="16"/>
      <c r="U402" s="16"/>
      <c r="V402" s="16"/>
      <c r="W402" s="16"/>
      <c r="X402" s="16"/>
      <c r="Y402" s="16"/>
      <c r="Z402" s="16"/>
      <c r="AA402" s="4">
        <v>288.01</v>
      </c>
      <c r="AB402" s="16"/>
      <c r="AC402" s="4"/>
      <c r="AD402" s="16"/>
      <c r="AE402" s="16"/>
      <c r="AF402" s="16"/>
      <c r="AG402" s="16"/>
      <c r="AH402" s="16"/>
      <c r="AI402" s="2">
        <f t="shared" si="51"/>
        <v>288.01</v>
      </c>
      <c r="AJ402" s="2">
        <f t="shared" si="52"/>
        <v>288.01</v>
      </c>
      <c r="AK402" s="2">
        <f t="shared" si="53"/>
        <v>288.01</v>
      </c>
      <c r="AL402" s="2">
        <f t="shared" si="48"/>
        <v>0</v>
      </c>
      <c r="AM402" s="2">
        <f t="shared" si="49"/>
        <v>0</v>
      </c>
      <c r="AN402" s="2">
        <f t="shared" si="50"/>
        <v>0</v>
      </c>
    </row>
    <row r="403" spans="1:40" ht="31.5" customHeight="1" x14ac:dyDescent="0.25">
      <c r="A403" s="55">
        <v>529</v>
      </c>
      <c r="B403" s="11" t="s">
        <v>26</v>
      </c>
      <c r="C403" s="9" t="s">
        <v>42</v>
      </c>
      <c r="D403" s="6" t="s">
        <v>363</v>
      </c>
      <c r="E403" s="1" t="s">
        <v>372</v>
      </c>
      <c r="F403" s="1" t="s">
        <v>66</v>
      </c>
      <c r="G403" s="1"/>
      <c r="H403" s="4">
        <v>288.01</v>
      </c>
      <c r="I403" s="16"/>
      <c r="J403" s="16"/>
      <c r="K403" s="16"/>
      <c r="L403" s="16"/>
      <c r="M403" s="16"/>
      <c r="N403" s="16"/>
      <c r="O403" s="4">
        <v>288.01</v>
      </c>
      <c r="P403" s="37"/>
      <c r="Q403" s="4"/>
      <c r="R403" s="16"/>
      <c r="S403" s="16"/>
      <c r="T403" s="16"/>
      <c r="U403" s="16"/>
      <c r="V403" s="16"/>
      <c r="W403" s="16"/>
      <c r="X403" s="16"/>
      <c r="Y403" s="16"/>
      <c r="Z403" s="16"/>
      <c r="AA403" s="4">
        <v>288.01</v>
      </c>
      <c r="AB403" s="16"/>
      <c r="AC403" s="4"/>
      <c r="AD403" s="16"/>
      <c r="AE403" s="16"/>
      <c r="AF403" s="16"/>
      <c r="AG403" s="16"/>
      <c r="AH403" s="16"/>
      <c r="AI403" s="2">
        <f t="shared" si="51"/>
        <v>288.01</v>
      </c>
      <c r="AJ403" s="2">
        <f t="shared" si="52"/>
        <v>288.01</v>
      </c>
      <c r="AK403" s="2">
        <f t="shared" si="53"/>
        <v>288.01</v>
      </c>
      <c r="AL403" s="2">
        <f t="shared" si="48"/>
        <v>0</v>
      </c>
      <c r="AM403" s="2">
        <f t="shared" si="49"/>
        <v>0</v>
      </c>
      <c r="AN403" s="2">
        <f t="shared" si="50"/>
        <v>0</v>
      </c>
    </row>
    <row r="404" spans="1:40" ht="31.5" customHeight="1" x14ac:dyDescent="0.25">
      <c r="A404" s="55">
        <v>530</v>
      </c>
      <c r="B404" s="11" t="s">
        <v>26</v>
      </c>
      <c r="C404" s="9" t="s">
        <v>94</v>
      </c>
      <c r="D404" s="6" t="s">
        <v>92</v>
      </c>
      <c r="E404" s="1" t="s">
        <v>93</v>
      </c>
      <c r="F404" s="1" t="s">
        <v>36</v>
      </c>
      <c r="G404" s="1"/>
      <c r="H404" s="4">
        <v>1200</v>
      </c>
      <c r="I404" s="16"/>
      <c r="J404" s="16"/>
      <c r="K404" s="16"/>
      <c r="L404" s="16"/>
      <c r="M404" s="16"/>
      <c r="N404" s="16"/>
      <c r="O404" s="4">
        <v>1200</v>
      </c>
      <c r="P404" s="37"/>
      <c r="Q404" s="4"/>
      <c r="R404" s="16"/>
      <c r="S404" s="16"/>
      <c r="T404" s="16"/>
      <c r="U404" s="16"/>
      <c r="V404" s="16"/>
      <c r="W404" s="37"/>
      <c r="X404" s="16"/>
      <c r="Y404" s="16"/>
      <c r="Z404" s="16"/>
      <c r="AA404" s="4">
        <v>1200</v>
      </c>
      <c r="AB404" s="16"/>
      <c r="AC404" s="4"/>
      <c r="AD404" s="16"/>
      <c r="AE404" s="16"/>
      <c r="AF404" s="16"/>
      <c r="AG404" s="4"/>
      <c r="AH404" s="16"/>
      <c r="AI404" s="2">
        <f t="shared" si="51"/>
        <v>1200</v>
      </c>
      <c r="AJ404" s="2">
        <f t="shared" si="52"/>
        <v>1200</v>
      </c>
      <c r="AK404" s="2">
        <f t="shared" si="53"/>
        <v>1200</v>
      </c>
      <c r="AL404" s="2">
        <f t="shared" si="48"/>
        <v>0</v>
      </c>
      <c r="AM404" s="2">
        <f t="shared" si="49"/>
        <v>0</v>
      </c>
      <c r="AN404" s="2">
        <f t="shared" si="50"/>
        <v>0</v>
      </c>
    </row>
    <row r="405" spans="1:40" ht="31.5" customHeight="1" x14ac:dyDescent="0.25">
      <c r="A405" s="55">
        <v>531</v>
      </c>
      <c r="B405" s="11" t="s">
        <v>26</v>
      </c>
      <c r="C405" s="6" t="s">
        <v>94</v>
      </c>
      <c r="D405" s="6" t="s">
        <v>108</v>
      </c>
      <c r="E405" s="1" t="s">
        <v>109</v>
      </c>
      <c r="F405" s="1" t="s">
        <v>36</v>
      </c>
      <c r="G405" s="1"/>
      <c r="H405" s="4">
        <v>1200</v>
      </c>
      <c r="I405" s="16"/>
      <c r="J405" s="16"/>
      <c r="K405" s="16"/>
      <c r="L405" s="16"/>
      <c r="M405" s="16"/>
      <c r="N405" s="16"/>
      <c r="O405" s="4">
        <v>1200</v>
      </c>
      <c r="P405" s="19"/>
      <c r="Q405" s="4"/>
      <c r="R405" s="16"/>
      <c r="S405" s="16"/>
      <c r="T405" s="16"/>
      <c r="U405" s="16"/>
      <c r="V405" s="16"/>
      <c r="W405" s="37"/>
      <c r="X405" s="16"/>
      <c r="Y405" s="16"/>
      <c r="Z405" s="16"/>
      <c r="AA405" s="4">
        <v>1200</v>
      </c>
      <c r="AB405" s="16"/>
      <c r="AC405" s="4"/>
      <c r="AD405" s="16"/>
      <c r="AE405" s="16"/>
      <c r="AF405" s="16"/>
      <c r="AG405" s="16"/>
      <c r="AH405" s="16"/>
      <c r="AI405" s="2">
        <f t="shared" si="51"/>
        <v>1200</v>
      </c>
      <c r="AJ405" s="2">
        <f t="shared" si="52"/>
        <v>1200</v>
      </c>
      <c r="AK405" s="2">
        <f t="shared" si="53"/>
        <v>1200</v>
      </c>
      <c r="AL405" s="2">
        <f t="shared" si="48"/>
        <v>0</v>
      </c>
      <c r="AM405" s="2">
        <f t="shared" si="49"/>
        <v>0</v>
      </c>
      <c r="AN405" s="2">
        <f t="shared" si="50"/>
        <v>0</v>
      </c>
    </row>
    <row r="406" spans="1:40" ht="31.5" customHeight="1" x14ac:dyDescent="0.25">
      <c r="A406" s="55">
        <v>535</v>
      </c>
      <c r="B406" s="11" t="s">
        <v>26</v>
      </c>
      <c r="C406" s="9" t="s">
        <v>160</v>
      </c>
      <c r="D406" s="6" t="s">
        <v>374</v>
      </c>
      <c r="E406" s="1" t="s">
        <v>376</v>
      </c>
      <c r="F406" s="1" t="s">
        <v>36</v>
      </c>
      <c r="G406" s="1"/>
      <c r="H406" s="4">
        <v>1200</v>
      </c>
      <c r="I406" s="16"/>
      <c r="J406" s="16"/>
      <c r="K406" s="16"/>
      <c r="L406" s="16"/>
      <c r="M406" s="16"/>
      <c r="N406" s="16"/>
      <c r="O406" s="4">
        <v>1200</v>
      </c>
      <c r="P406" s="16"/>
      <c r="Q406" s="4"/>
      <c r="R406" s="16"/>
      <c r="S406" s="16"/>
      <c r="T406" s="16"/>
      <c r="U406" s="16"/>
      <c r="V406" s="16"/>
      <c r="W406" s="37"/>
      <c r="X406" s="16"/>
      <c r="Y406" s="16"/>
      <c r="Z406" s="16"/>
      <c r="AA406" s="4">
        <v>1200</v>
      </c>
      <c r="AB406" s="16"/>
      <c r="AC406" s="4"/>
      <c r="AD406" s="16"/>
      <c r="AE406" s="16"/>
      <c r="AF406" s="16"/>
      <c r="AG406" s="16"/>
      <c r="AH406" s="16"/>
      <c r="AI406" s="2">
        <f t="shared" si="51"/>
        <v>1200</v>
      </c>
      <c r="AJ406" s="2">
        <f t="shared" si="52"/>
        <v>1200</v>
      </c>
      <c r="AK406" s="2">
        <f t="shared" si="53"/>
        <v>1200</v>
      </c>
      <c r="AL406" s="2">
        <f t="shared" si="48"/>
        <v>0</v>
      </c>
      <c r="AM406" s="2">
        <f t="shared" si="49"/>
        <v>0</v>
      </c>
      <c r="AN406" s="2">
        <f t="shared" si="50"/>
        <v>0</v>
      </c>
    </row>
    <row r="407" spans="1:40" ht="31.5" customHeight="1" x14ac:dyDescent="0.25">
      <c r="A407" s="55">
        <v>541</v>
      </c>
      <c r="B407" s="11" t="s">
        <v>56</v>
      </c>
      <c r="C407" s="6" t="s">
        <v>122</v>
      </c>
      <c r="D407" s="6" t="s">
        <v>375</v>
      </c>
      <c r="E407" s="1" t="s">
        <v>377</v>
      </c>
      <c r="F407" s="1" t="s">
        <v>37</v>
      </c>
      <c r="G407" s="1"/>
      <c r="H407" s="4">
        <v>7816</v>
      </c>
      <c r="I407" s="16"/>
      <c r="J407" s="16"/>
      <c r="K407" s="16"/>
      <c r="L407" s="16"/>
      <c r="M407" s="16"/>
      <c r="N407" s="16"/>
      <c r="O407" s="16"/>
      <c r="P407" s="16"/>
      <c r="Q407" s="4"/>
      <c r="R407" s="16"/>
      <c r="S407" s="16"/>
      <c r="T407" s="16"/>
      <c r="U407" s="16"/>
      <c r="V407" s="16"/>
      <c r="W407" s="37"/>
      <c r="X407" s="16"/>
      <c r="Y407" s="16"/>
      <c r="Z407" s="16"/>
      <c r="AA407" s="16"/>
      <c r="AB407" s="16"/>
      <c r="AC407" s="4"/>
      <c r="AD407" s="16"/>
      <c r="AE407" s="16"/>
      <c r="AF407" s="16"/>
      <c r="AG407" s="16"/>
      <c r="AH407" s="16"/>
      <c r="AI407" s="2">
        <f t="shared" si="51"/>
        <v>7816</v>
      </c>
      <c r="AJ407" s="2">
        <f t="shared" si="52"/>
        <v>0</v>
      </c>
      <c r="AK407" s="2">
        <f t="shared" si="53"/>
        <v>0</v>
      </c>
      <c r="AL407" s="2">
        <f t="shared" si="48"/>
        <v>7816</v>
      </c>
      <c r="AM407" s="2">
        <f t="shared" si="49"/>
        <v>0</v>
      </c>
      <c r="AN407" s="2">
        <f t="shared" si="50"/>
        <v>7816</v>
      </c>
    </row>
    <row r="408" spans="1:40" ht="31.5" customHeight="1" x14ac:dyDescent="0.25">
      <c r="A408" s="55">
        <v>573</v>
      </c>
      <c r="B408" s="11" t="s">
        <v>26</v>
      </c>
      <c r="C408" s="9" t="s">
        <v>42</v>
      </c>
      <c r="D408" s="6" t="s">
        <v>378</v>
      </c>
      <c r="E408" s="1" t="s">
        <v>379</v>
      </c>
      <c r="F408" s="1" t="s">
        <v>66</v>
      </c>
      <c r="G408" s="1"/>
      <c r="H408" s="4">
        <v>1064.44</v>
      </c>
      <c r="I408" s="16"/>
      <c r="J408" s="16"/>
      <c r="K408" s="16"/>
      <c r="L408" s="16"/>
      <c r="M408" s="16"/>
      <c r="N408" s="16"/>
      <c r="O408" s="16"/>
      <c r="P408" s="4">
        <v>1064.44</v>
      </c>
      <c r="Q408" s="4"/>
      <c r="R408" s="16"/>
      <c r="S408" s="16"/>
      <c r="T408" s="16"/>
      <c r="U408" s="16"/>
      <c r="V408" s="16"/>
      <c r="W408" s="37"/>
      <c r="X408" s="16"/>
      <c r="Y408" s="16"/>
      <c r="Z408" s="16"/>
      <c r="AA408" s="16"/>
      <c r="AB408" s="4">
        <v>1064.44</v>
      </c>
      <c r="AC408" s="4"/>
      <c r="AD408" s="16"/>
      <c r="AE408" s="16"/>
      <c r="AF408" s="16"/>
      <c r="AG408" s="16"/>
      <c r="AH408" s="16"/>
      <c r="AI408" s="2">
        <f t="shared" si="51"/>
        <v>1064.44</v>
      </c>
      <c r="AJ408" s="2">
        <f t="shared" si="52"/>
        <v>1064.44</v>
      </c>
      <c r="AK408" s="2">
        <f t="shared" si="53"/>
        <v>1064.44</v>
      </c>
      <c r="AL408" s="2">
        <f t="shared" si="48"/>
        <v>0</v>
      </c>
      <c r="AM408" s="2">
        <f t="shared" si="49"/>
        <v>0</v>
      </c>
      <c r="AN408" s="2">
        <f t="shared" si="50"/>
        <v>0</v>
      </c>
    </row>
    <row r="409" spans="1:40" ht="31.5" customHeight="1" x14ac:dyDescent="0.25">
      <c r="A409" s="55">
        <v>574</v>
      </c>
      <c r="B409" s="11" t="s">
        <v>26</v>
      </c>
      <c r="C409" s="9" t="s">
        <v>94</v>
      </c>
      <c r="D409" s="6" t="s">
        <v>92</v>
      </c>
      <c r="E409" s="1" t="s">
        <v>93</v>
      </c>
      <c r="F409" s="1" t="s">
        <v>36</v>
      </c>
      <c r="G409" s="1"/>
      <c r="H409" s="4">
        <v>2000</v>
      </c>
      <c r="I409" s="16"/>
      <c r="J409" s="16"/>
      <c r="K409" s="16"/>
      <c r="L409" s="16"/>
      <c r="M409" s="16"/>
      <c r="N409" s="16"/>
      <c r="O409" s="16"/>
      <c r="P409" s="4">
        <v>2000</v>
      </c>
      <c r="Q409" s="4"/>
      <c r="R409" s="16"/>
      <c r="S409" s="16"/>
      <c r="T409" s="16"/>
      <c r="U409" s="16"/>
      <c r="V409" s="16"/>
      <c r="W409" s="37"/>
      <c r="X409" s="16"/>
      <c r="Y409" s="16"/>
      <c r="Z409" s="16"/>
      <c r="AA409" s="16"/>
      <c r="AB409" s="4">
        <v>2000</v>
      </c>
      <c r="AC409" s="4"/>
      <c r="AD409" s="16"/>
      <c r="AE409" s="16"/>
      <c r="AF409" s="16"/>
      <c r="AG409" s="16"/>
      <c r="AH409" s="16"/>
      <c r="AI409" s="2">
        <f t="shared" si="51"/>
        <v>2000</v>
      </c>
      <c r="AJ409" s="2">
        <f t="shared" si="52"/>
        <v>2000</v>
      </c>
      <c r="AK409" s="2">
        <f t="shared" si="53"/>
        <v>2000</v>
      </c>
      <c r="AL409" s="2">
        <f t="shared" si="48"/>
        <v>0</v>
      </c>
      <c r="AM409" s="2">
        <f t="shared" si="49"/>
        <v>0</v>
      </c>
      <c r="AN409" s="2">
        <f t="shared" si="50"/>
        <v>0</v>
      </c>
    </row>
    <row r="410" spans="1:40" ht="31.5" customHeight="1" x14ac:dyDescent="0.25">
      <c r="A410" s="55">
        <v>575</v>
      </c>
      <c r="B410" s="11" t="s">
        <v>26</v>
      </c>
      <c r="C410" s="9" t="s">
        <v>94</v>
      </c>
      <c r="D410" s="6" t="s">
        <v>286</v>
      </c>
      <c r="E410" s="1" t="s">
        <v>287</v>
      </c>
      <c r="F410" s="1" t="s">
        <v>36</v>
      </c>
      <c r="G410" s="1"/>
      <c r="H410" s="4">
        <v>2000</v>
      </c>
      <c r="I410" s="16"/>
      <c r="J410" s="16"/>
      <c r="K410" s="16"/>
      <c r="L410" s="16"/>
      <c r="M410" s="16"/>
      <c r="N410" s="16"/>
      <c r="O410" s="16"/>
      <c r="P410" s="4">
        <v>2000</v>
      </c>
      <c r="Q410" s="4"/>
      <c r="R410" s="16"/>
      <c r="S410" s="16"/>
      <c r="T410" s="16"/>
      <c r="U410" s="16"/>
      <c r="V410" s="16"/>
      <c r="W410" s="37"/>
      <c r="X410" s="16"/>
      <c r="Y410" s="16"/>
      <c r="Z410" s="16"/>
      <c r="AA410" s="16"/>
      <c r="AB410" s="4">
        <v>2000</v>
      </c>
      <c r="AC410" s="4"/>
      <c r="AD410" s="16"/>
      <c r="AE410" s="16"/>
      <c r="AF410" s="16"/>
      <c r="AG410" s="16"/>
      <c r="AH410" s="16"/>
      <c r="AI410" s="2">
        <f t="shared" si="51"/>
        <v>2000</v>
      </c>
      <c r="AJ410" s="2">
        <f t="shared" si="52"/>
        <v>2000</v>
      </c>
      <c r="AK410" s="2">
        <f t="shared" si="53"/>
        <v>2000</v>
      </c>
      <c r="AL410" s="2">
        <f t="shared" si="48"/>
        <v>0</v>
      </c>
      <c r="AM410" s="2">
        <f t="shared" si="49"/>
        <v>0</v>
      </c>
      <c r="AN410" s="2">
        <f t="shared" si="50"/>
        <v>0</v>
      </c>
    </row>
    <row r="411" spans="1:40" ht="31.5" customHeight="1" x14ac:dyDescent="0.25">
      <c r="A411" s="55">
        <v>580</v>
      </c>
      <c r="B411" s="11" t="s">
        <v>56</v>
      </c>
      <c r="C411" s="9" t="s">
        <v>384</v>
      </c>
      <c r="D411" s="6" t="s">
        <v>380</v>
      </c>
      <c r="E411" s="1" t="s">
        <v>382</v>
      </c>
      <c r="F411" s="1" t="s">
        <v>36</v>
      </c>
      <c r="G411" s="1"/>
      <c r="H411" s="4">
        <v>1179</v>
      </c>
      <c r="I411" s="16"/>
      <c r="J411" s="16"/>
      <c r="K411" s="16"/>
      <c r="L411" s="16"/>
      <c r="M411" s="16"/>
      <c r="N411" s="16"/>
      <c r="O411" s="16"/>
      <c r="P411" s="16"/>
      <c r="Q411" s="4">
        <v>1179</v>
      </c>
      <c r="R411" s="4"/>
      <c r="S411" s="16"/>
      <c r="T411" s="16"/>
      <c r="U411" s="16"/>
      <c r="V411" s="16"/>
      <c r="W411" s="37"/>
      <c r="X411" s="16"/>
      <c r="Y411" s="16"/>
      <c r="Z411" s="16"/>
      <c r="AA411" s="16"/>
      <c r="AB411" s="16"/>
      <c r="AC411" s="4">
        <v>1179</v>
      </c>
      <c r="AD411" s="4"/>
      <c r="AE411" s="16"/>
      <c r="AF411" s="16"/>
      <c r="AG411" s="16"/>
      <c r="AH411" s="16"/>
      <c r="AI411" s="2">
        <f t="shared" si="51"/>
        <v>1179</v>
      </c>
      <c r="AJ411" s="2">
        <f t="shared" si="52"/>
        <v>1179</v>
      </c>
      <c r="AK411" s="2">
        <f t="shared" si="53"/>
        <v>1179</v>
      </c>
      <c r="AL411" s="2">
        <f t="shared" si="48"/>
        <v>0</v>
      </c>
      <c r="AM411" s="2">
        <f t="shared" si="49"/>
        <v>0</v>
      </c>
      <c r="AN411" s="2">
        <f t="shared" si="50"/>
        <v>0</v>
      </c>
    </row>
    <row r="412" spans="1:40" ht="31.5" customHeight="1" x14ac:dyDescent="0.25">
      <c r="A412" s="55">
        <v>581</v>
      </c>
      <c r="B412" s="11" t="s">
        <v>26</v>
      </c>
      <c r="C412" s="9" t="s">
        <v>385</v>
      </c>
      <c r="D412" s="6" t="s">
        <v>381</v>
      </c>
      <c r="E412" s="1" t="s">
        <v>383</v>
      </c>
      <c r="F412" s="1" t="s">
        <v>37</v>
      </c>
      <c r="G412" s="1"/>
      <c r="H412" s="4">
        <v>21483</v>
      </c>
      <c r="I412" s="16"/>
      <c r="J412" s="16"/>
      <c r="K412" s="16"/>
      <c r="L412" s="16"/>
      <c r="M412" s="16"/>
      <c r="N412" s="16"/>
      <c r="O412" s="16"/>
      <c r="P412" s="16"/>
      <c r="Q412" s="16"/>
      <c r="R412" s="4"/>
      <c r="S412" s="16"/>
      <c r="T412" s="16"/>
      <c r="U412" s="16"/>
      <c r="V412" s="16"/>
      <c r="W412" s="37"/>
      <c r="X412" s="16"/>
      <c r="Y412" s="16"/>
      <c r="Z412" s="16"/>
      <c r="AA412" s="16"/>
      <c r="AB412" s="16"/>
      <c r="AC412" s="16"/>
      <c r="AD412" s="4"/>
      <c r="AE412" s="16"/>
      <c r="AF412" s="16"/>
      <c r="AG412" s="16"/>
      <c r="AH412" s="16"/>
      <c r="AI412" s="2">
        <f t="shared" si="51"/>
        <v>21483</v>
      </c>
      <c r="AJ412" s="2">
        <f t="shared" si="52"/>
        <v>0</v>
      </c>
      <c r="AK412" s="2">
        <f t="shared" si="53"/>
        <v>0</v>
      </c>
      <c r="AL412" s="2">
        <f t="shared" si="48"/>
        <v>21483</v>
      </c>
      <c r="AM412" s="2">
        <f t="shared" si="49"/>
        <v>0</v>
      </c>
      <c r="AN412" s="2">
        <f t="shared" si="50"/>
        <v>21483</v>
      </c>
    </row>
    <row r="413" spans="1:40" ht="31.5" customHeight="1" x14ac:dyDescent="0.25">
      <c r="A413" s="55">
        <v>582</v>
      </c>
      <c r="B413" s="11" t="s">
        <v>56</v>
      </c>
      <c r="C413" s="9" t="s">
        <v>88</v>
      </c>
      <c r="D413" s="6" t="s">
        <v>386</v>
      </c>
      <c r="E413" s="1" t="s">
        <v>86</v>
      </c>
      <c r="F413" s="1" t="s">
        <v>36</v>
      </c>
      <c r="G413" s="1"/>
      <c r="H413" s="4">
        <v>22444.54</v>
      </c>
      <c r="I413" s="16"/>
      <c r="J413" s="16"/>
      <c r="K413" s="16"/>
      <c r="L413" s="16"/>
      <c r="M413" s="16"/>
      <c r="N413" s="16"/>
      <c r="O413" s="16"/>
      <c r="P413" s="16"/>
      <c r="Q413" s="4">
        <f>3002.56+8603.84</f>
        <v>11606.4</v>
      </c>
      <c r="R413" s="16"/>
      <c r="S413" s="16"/>
      <c r="T413" s="16"/>
      <c r="U413" s="16"/>
      <c r="V413" s="16"/>
      <c r="W413" s="37"/>
      <c r="X413" s="16"/>
      <c r="Y413" s="16"/>
      <c r="Z413" s="16"/>
      <c r="AA413" s="16"/>
      <c r="AB413" s="16"/>
      <c r="AC413" s="4">
        <f>2693.3+7717.65+144.12+165.14+412.98+473.21</f>
        <v>11606.4</v>
      </c>
      <c r="AD413" s="4"/>
      <c r="AE413" s="16"/>
      <c r="AF413" s="16"/>
      <c r="AG413" s="4"/>
      <c r="AH413" s="16"/>
      <c r="AI413" s="2">
        <f t="shared" si="51"/>
        <v>22444.54</v>
      </c>
      <c r="AJ413" s="2">
        <f t="shared" si="52"/>
        <v>11606.4</v>
      </c>
      <c r="AK413" s="2">
        <f t="shared" si="53"/>
        <v>11606.4</v>
      </c>
      <c r="AL413" s="2">
        <f t="shared" si="48"/>
        <v>10838.140000000001</v>
      </c>
      <c r="AM413" s="2">
        <f t="shared" si="49"/>
        <v>0</v>
      </c>
      <c r="AN413" s="2">
        <f t="shared" si="50"/>
        <v>10838.140000000001</v>
      </c>
    </row>
    <row r="414" spans="1:40" ht="31.5" customHeight="1" x14ac:dyDescent="0.25">
      <c r="A414" s="55">
        <v>585</v>
      </c>
      <c r="B414" s="11" t="s">
        <v>26</v>
      </c>
      <c r="C414" s="9" t="s">
        <v>393</v>
      </c>
      <c r="D414" s="6" t="s">
        <v>387</v>
      </c>
      <c r="E414" s="1" t="s">
        <v>388</v>
      </c>
      <c r="F414" s="1" t="s">
        <v>36</v>
      </c>
      <c r="G414" s="1"/>
      <c r="H414" s="4">
        <v>11768</v>
      </c>
      <c r="I414" s="16"/>
      <c r="J414" s="16"/>
      <c r="K414" s="16"/>
      <c r="L414" s="16"/>
      <c r="M414" s="16"/>
      <c r="N414" s="16"/>
      <c r="O414" s="16"/>
      <c r="P414" s="16"/>
      <c r="Q414" s="4"/>
      <c r="R414" s="16"/>
      <c r="S414" s="16"/>
      <c r="T414" s="16"/>
      <c r="U414" s="16"/>
      <c r="V414" s="16"/>
      <c r="W414" s="37"/>
      <c r="X414" s="16"/>
      <c r="Y414" s="16"/>
      <c r="Z414" s="16"/>
      <c r="AA414" s="16"/>
      <c r="AB414" s="16"/>
      <c r="AC414" s="4"/>
      <c r="AD414" s="16"/>
      <c r="AE414" s="16"/>
      <c r="AF414" s="16"/>
      <c r="AG414" s="16"/>
      <c r="AH414" s="16"/>
      <c r="AI414" s="2">
        <f t="shared" si="51"/>
        <v>11768</v>
      </c>
      <c r="AJ414" s="2">
        <f t="shared" si="52"/>
        <v>0</v>
      </c>
      <c r="AK414" s="2">
        <f t="shared" si="53"/>
        <v>0</v>
      </c>
      <c r="AL414" s="2">
        <f t="shared" si="48"/>
        <v>11768</v>
      </c>
      <c r="AM414" s="2">
        <f t="shared" si="49"/>
        <v>0</v>
      </c>
      <c r="AN414" s="2">
        <f t="shared" si="50"/>
        <v>11768</v>
      </c>
    </row>
    <row r="415" spans="1:40" ht="31.5" customHeight="1" x14ac:dyDescent="0.25">
      <c r="A415" s="55">
        <v>589</v>
      </c>
      <c r="B415" s="11" t="s">
        <v>26</v>
      </c>
      <c r="C415" s="9" t="s">
        <v>42</v>
      </c>
      <c r="D415" s="6" t="s">
        <v>391</v>
      </c>
      <c r="E415" s="1" t="s">
        <v>389</v>
      </c>
      <c r="F415" s="1" t="s">
        <v>67</v>
      </c>
      <c r="G415" s="1"/>
      <c r="H415" s="4">
        <v>1386.63</v>
      </c>
      <c r="I415" s="16"/>
      <c r="J415" s="16"/>
      <c r="K415" s="16"/>
      <c r="L415" s="16"/>
      <c r="M415" s="16"/>
      <c r="N415" s="16"/>
      <c r="O415" s="16"/>
      <c r="P415" s="4">
        <v>1386.63</v>
      </c>
      <c r="Q415" s="4"/>
      <c r="R415" s="16"/>
      <c r="S415" s="16"/>
      <c r="T415" s="16"/>
      <c r="U415" s="16"/>
      <c r="V415" s="16"/>
      <c r="W415" s="37"/>
      <c r="X415" s="16"/>
      <c r="Y415" s="16"/>
      <c r="Z415" s="16"/>
      <c r="AA415" s="16"/>
      <c r="AB415" s="4">
        <v>1386.63</v>
      </c>
      <c r="AC415" s="4"/>
      <c r="AD415" s="16"/>
      <c r="AE415" s="16"/>
      <c r="AF415" s="16"/>
      <c r="AG415" s="16"/>
      <c r="AH415" s="16"/>
      <c r="AI415" s="2">
        <f t="shared" si="51"/>
        <v>1386.63</v>
      </c>
      <c r="AJ415" s="2">
        <f t="shared" si="52"/>
        <v>1386.63</v>
      </c>
      <c r="AK415" s="2">
        <f t="shared" si="53"/>
        <v>1386.63</v>
      </c>
      <c r="AL415" s="2">
        <f t="shared" si="48"/>
        <v>0</v>
      </c>
      <c r="AM415" s="2">
        <f t="shared" si="49"/>
        <v>0</v>
      </c>
      <c r="AN415" s="2">
        <f t="shared" si="50"/>
        <v>0</v>
      </c>
    </row>
    <row r="416" spans="1:40" ht="31.5" customHeight="1" x14ac:dyDescent="0.25">
      <c r="A416" s="55">
        <v>592</v>
      </c>
      <c r="B416" s="11" t="s">
        <v>56</v>
      </c>
      <c r="C416" s="9" t="s">
        <v>270</v>
      </c>
      <c r="D416" s="6" t="s">
        <v>392</v>
      </c>
      <c r="E416" s="1" t="s">
        <v>390</v>
      </c>
      <c r="F416" s="1" t="s">
        <v>37</v>
      </c>
      <c r="G416" s="1"/>
      <c r="H416" s="4">
        <v>11988</v>
      </c>
      <c r="I416" s="16"/>
      <c r="J416" s="16"/>
      <c r="K416" s="16"/>
      <c r="L416" s="16"/>
      <c r="M416" s="16"/>
      <c r="N416" s="16"/>
      <c r="O416" s="16"/>
      <c r="P416" s="16"/>
      <c r="Q416" s="4">
        <v>11988</v>
      </c>
      <c r="R416" s="4"/>
      <c r="S416" s="16"/>
      <c r="T416" s="16"/>
      <c r="U416" s="16"/>
      <c r="V416" s="16"/>
      <c r="W416" s="37"/>
      <c r="X416" s="16"/>
      <c r="Y416" s="16"/>
      <c r="Z416" s="16"/>
      <c r="AA416" s="16"/>
      <c r="AB416" s="4"/>
      <c r="AC416" s="4">
        <f>11412.58+575.42</f>
        <v>11988</v>
      </c>
      <c r="AD416" s="4"/>
      <c r="AE416" s="16"/>
      <c r="AF416" s="16"/>
      <c r="AG416" s="16"/>
      <c r="AH416" s="16"/>
      <c r="AI416" s="2">
        <f t="shared" si="51"/>
        <v>11988</v>
      </c>
      <c r="AJ416" s="2">
        <f t="shared" si="52"/>
        <v>11988</v>
      </c>
      <c r="AK416" s="2">
        <f t="shared" si="53"/>
        <v>11988</v>
      </c>
      <c r="AL416" s="2">
        <f t="shared" si="48"/>
        <v>0</v>
      </c>
      <c r="AM416" s="2">
        <f t="shared" si="49"/>
        <v>0</v>
      </c>
      <c r="AN416" s="2">
        <f t="shared" si="50"/>
        <v>0</v>
      </c>
    </row>
    <row r="417" spans="1:40" ht="31.5" customHeight="1" x14ac:dyDescent="0.25">
      <c r="A417" s="55">
        <v>594</v>
      </c>
      <c r="B417" s="11" t="s">
        <v>26</v>
      </c>
      <c r="C417" s="9" t="s">
        <v>94</v>
      </c>
      <c r="D417" s="6" t="s">
        <v>92</v>
      </c>
      <c r="E417" s="1" t="s">
        <v>93</v>
      </c>
      <c r="F417" s="1" t="s">
        <v>36</v>
      </c>
      <c r="G417" s="1"/>
      <c r="H417" s="4">
        <v>1200</v>
      </c>
      <c r="I417" s="16"/>
      <c r="J417" s="16"/>
      <c r="K417" s="16"/>
      <c r="L417" s="16"/>
      <c r="M417" s="16"/>
      <c r="N417" s="16"/>
      <c r="O417" s="16"/>
      <c r="P417" s="4">
        <v>1200</v>
      </c>
      <c r="Q417" s="16"/>
      <c r="R417" s="16"/>
      <c r="S417" s="16"/>
      <c r="T417" s="16"/>
      <c r="U417" s="16"/>
      <c r="V417" s="16"/>
      <c r="W417" s="15"/>
      <c r="X417" s="16"/>
      <c r="Y417" s="16"/>
      <c r="Z417" s="16"/>
      <c r="AA417" s="16"/>
      <c r="AB417" s="4">
        <v>1200</v>
      </c>
      <c r="AC417" s="16"/>
      <c r="AD417" s="16"/>
      <c r="AE417" s="16"/>
      <c r="AF417" s="16"/>
      <c r="AG417" s="16"/>
      <c r="AH417" s="16"/>
      <c r="AI417" s="2">
        <f t="shared" si="51"/>
        <v>1200</v>
      </c>
      <c r="AJ417" s="2">
        <f t="shared" si="52"/>
        <v>1200</v>
      </c>
      <c r="AK417" s="2">
        <f t="shared" si="53"/>
        <v>1200</v>
      </c>
      <c r="AL417" s="2">
        <f t="shared" si="48"/>
        <v>0</v>
      </c>
      <c r="AM417" s="2">
        <f t="shared" si="49"/>
        <v>0</v>
      </c>
      <c r="AN417" s="2">
        <f t="shared" si="50"/>
        <v>0</v>
      </c>
    </row>
    <row r="418" spans="1:40" ht="31.5" customHeight="1" x14ac:dyDescent="0.25">
      <c r="A418" s="55">
        <v>595</v>
      </c>
      <c r="B418" s="11" t="s">
        <v>26</v>
      </c>
      <c r="C418" s="9" t="s">
        <v>94</v>
      </c>
      <c r="D418" s="6" t="s">
        <v>108</v>
      </c>
      <c r="E418" s="1" t="s">
        <v>109</v>
      </c>
      <c r="F418" s="1" t="s">
        <v>36</v>
      </c>
      <c r="G418" s="1"/>
      <c r="H418" s="4">
        <v>1200</v>
      </c>
      <c r="I418" s="16"/>
      <c r="J418" s="16"/>
      <c r="K418" s="16"/>
      <c r="L418" s="16"/>
      <c r="M418" s="16"/>
      <c r="N418" s="16"/>
      <c r="O418" s="16"/>
      <c r="P418" s="4">
        <v>1200</v>
      </c>
      <c r="Q418" s="16"/>
      <c r="R418" s="4"/>
      <c r="S418" s="16"/>
      <c r="T418" s="16"/>
      <c r="U418" s="16"/>
      <c r="V418" s="16"/>
      <c r="W418" s="37"/>
      <c r="X418" s="16"/>
      <c r="Y418" s="16"/>
      <c r="Z418" s="16"/>
      <c r="AA418" s="16"/>
      <c r="AB418" s="4">
        <v>1200</v>
      </c>
      <c r="AC418" s="16"/>
      <c r="AD418" s="4"/>
      <c r="AE418" s="16"/>
      <c r="AF418" s="16"/>
      <c r="AG418" s="16"/>
      <c r="AH418" s="16"/>
      <c r="AI418" s="2">
        <f t="shared" si="51"/>
        <v>1200</v>
      </c>
      <c r="AJ418" s="2">
        <f t="shared" si="52"/>
        <v>1200</v>
      </c>
      <c r="AK418" s="2">
        <f t="shared" si="53"/>
        <v>1200</v>
      </c>
      <c r="AL418" s="2">
        <f t="shared" si="48"/>
        <v>0</v>
      </c>
      <c r="AM418" s="2">
        <f t="shared" si="49"/>
        <v>0</v>
      </c>
      <c r="AN418" s="2">
        <f t="shared" si="50"/>
        <v>0</v>
      </c>
    </row>
    <row r="419" spans="1:40" ht="31.5" customHeight="1" x14ac:dyDescent="0.25">
      <c r="A419" s="55">
        <v>620</v>
      </c>
      <c r="B419" s="11" t="s">
        <v>26</v>
      </c>
      <c r="C419" s="9" t="s">
        <v>192</v>
      </c>
      <c r="D419" s="6" t="s">
        <v>320</v>
      </c>
      <c r="E419" s="1" t="s">
        <v>321</v>
      </c>
      <c r="F419" s="1" t="s">
        <v>36</v>
      </c>
      <c r="G419" s="1"/>
      <c r="H419" s="4">
        <v>8700</v>
      </c>
      <c r="I419" s="4"/>
      <c r="J419" s="4"/>
      <c r="K419" s="4"/>
      <c r="L419" s="4"/>
      <c r="M419" s="4"/>
      <c r="N419" s="4"/>
      <c r="O419" s="4"/>
      <c r="P419" s="4">
        <v>8700</v>
      </c>
      <c r="Q419" s="4"/>
      <c r="R419" s="4"/>
      <c r="S419" s="4"/>
      <c r="T419" s="4"/>
      <c r="U419" s="4"/>
      <c r="V419" s="4"/>
      <c r="W419" s="18"/>
      <c r="X419" s="4"/>
      <c r="Y419" s="4"/>
      <c r="Z419" s="4"/>
      <c r="AA419" s="4"/>
      <c r="AB419" s="4">
        <v>8700</v>
      </c>
      <c r="AC419" s="4"/>
      <c r="AD419" s="4"/>
      <c r="AE419" s="4"/>
      <c r="AF419" s="4"/>
      <c r="AG419" s="16"/>
      <c r="AH419" s="16"/>
      <c r="AI419" s="2">
        <f t="shared" si="51"/>
        <v>8700</v>
      </c>
      <c r="AJ419" s="2">
        <f t="shared" si="52"/>
        <v>8700</v>
      </c>
      <c r="AK419" s="2">
        <f t="shared" si="53"/>
        <v>8700</v>
      </c>
      <c r="AL419" s="2">
        <f t="shared" si="48"/>
        <v>0</v>
      </c>
      <c r="AM419" s="2">
        <f t="shared" si="49"/>
        <v>0</v>
      </c>
      <c r="AN419" s="2">
        <f t="shared" si="50"/>
        <v>0</v>
      </c>
    </row>
    <row r="420" spans="1:40" ht="31.5" customHeight="1" x14ac:dyDescent="0.25">
      <c r="A420" s="55">
        <v>621</v>
      </c>
      <c r="B420" s="11" t="s">
        <v>56</v>
      </c>
      <c r="C420" s="9" t="s">
        <v>400</v>
      </c>
      <c r="D420" s="6" t="s">
        <v>394</v>
      </c>
      <c r="E420" s="1" t="s">
        <v>397</v>
      </c>
      <c r="F420" s="1" t="s">
        <v>36</v>
      </c>
      <c r="G420" s="1"/>
      <c r="H420" s="4">
        <v>161.66999999999999</v>
      </c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18"/>
      <c r="X420" s="4"/>
      <c r="Y420" s="4"/>
      <c r="Z420" s="4"/>
      <c r="AA420" s="4"/>
      <c r="AB420" s="4"/>
      <c r="AC420" s="4"/>
      <c r="AD420" s="4"/>
      <c r="AE420" s="4"/>
      <c r="AF420" s="4"/>
      <c r="AG420" s="16"/>
      <c r="AH420" s="16"/>
      <c r="AI420" s="2">
        <f t="shared" si="51"/>
        <v>161.66999999999999</v>
      </c>
      <c r="AJ420" s="2">
        <f t="shared" si="52"/>
        <v>0</v>
      </c>
      <c r="AK420" s="2">
        <f t="shared" si="53"/>
        <v>0</v>
      </c>
      <c r="AL420" s="2">
        <f t="shared" si="48"/>
        <v>161.66999999999999</v>
      </c>
      <c r="AM420" s="2">
        <f t="shared" si="49"/>
        <v>0</v>
      </c>
      <c r="AN420" s="2">
        <f t="shared" si="50"/>
        <v>161.66999999999999</v>
      </c>
    </row>
    <row r="421" spans="1:40" ht="31.5" customHeight="1" x14ac:dyDescent="0.25">
      <c r="A421" s="55">
        <v>622</v>
      </c>
      <c r="B421" s="11" t="s">
        <v>26</v>
      </c>
      <c r="C421" s="9" t="s">
        <v>401</v>
      </c>
      <c r="D421" s="6" t="s">
        <v>395</v>
      </c>
      <c r="E421" s="1" t="s">
        <v>398</v>
      </c>
      <c r="F421" s="1" t="s">
        <v>36</v>
      </c>
      <c r="G421" s="1"/>
      <c r="H421" s="4">
        <v>2039.17</v>
      </c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18"/>
      <c r="X421" s="4"/>
      <c r="Y421" s="4"/>
      <c r="Z421" s="4"/>
      <c r="AA421" s="4"/>
      <c r="AB421" s="4"/>
      <c r="AC421" s="4"/>
      <c r="AD421" s="4"/>
      <c r="AE421" s="4"/>
      <c r="AF421" s="4"/>
      <c r="AG421" s="16"/>
      <c r="AH421" s="16"/>
      <c r="AI421" s="2">
        <f t="shared" si="51"/>
        <v>2039.17</v>
      </c>
      <c r="AJ421" s="2">
        <f t="shared" si="52"/>
        <v>0</v>
      </c>
      <c r="AK421" s="2">
        <f t="shared" si="53"/>
        <v>0</v>
      </c>
      <c r="AL421" s="2">
        <f t="shared" si="48"/>
        <v>2039.17</v>
      </c>
      <c r="AM421" s="2">
        <f t="shared" si="49"/>
        <v>0</v>
      </c>
      <c r="AN421" s="2">
        <f t="shared" si="50"/>
        <v>2039.17</v>
      </c>
    </row>
    <row r="422" spans="1:40" ht="31.5" customHeight="1" x14ac:dyDescent="0.25">
      <c r="A422" s="55">
        <v>623</v>
      </c>
      <c r="B422" s="11" t="s">
        <v>26</v>
      </c>
      <c r="C422" s="9" t="s">
        <v>402</v>
      </c>
      <c r="D422" s="6" t="s">
        <v>396</v>
      </c>
      <c r="E422" s="1" t="s">
        <v>399</v>
      </c>
      <c r="F422" s="1" t="s">
        <v>36</v>
      </c>
      <c r="G422" s="1"/>
      <c r="H422" s="4">
        <v>2320.2399999999998</v>
      </c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18"/>
      <c r="X422" s="4"/>
      <c r="Y422" s="4"/>
      <c r="Z422" s="4"/>
      <c r="AA422" s="4"/>
      <c r="AB422" s="4"/>
      <c r="AC422" s="4"/>
      <c r="AD422" s="4"/>
      <c r="AE422" s="4"/>
      <c r="AF422" s="4"/>
      <c r="AG422" s="16"/>
      <c r="AH422" s="16"/>
      <c r="AI422" s="2">
        <f t="shared" si="51"/>
        <v>2320.2399999999998</v>
      </c>
      <c r="AJ422" s="2">
        <f t="shared" si="52"/>
        <v>0</v>
      </c>
      <c r="AK422" s="2">
        <f t="shared" si="53"/>
        <v>0</v>
      </c>
      <c r="AL422" s="2">
        <f t="shared" si="48"/>
        <v>2320.2399999999998</v>
      </c>
      <c r="AM422" s="2">
        <f t="shared" si="49"/>
        <v>0</v>
      </c>
      <c r="AN422" s="2">
        <f t="shared" si="50"/>
        <v>2320.2399999999998</v>
      </c>
    </row>
    <row r="423" spans="1:40" ht="31.5" customHeight="1" x14ac:dyDescent="0.25">
      <c r="A423" s="55">
        <v>624</v>
      </c>
      <c r="B423" s="11" t="s">
        <v>26</v>
      </c>
      <c r="C423" s="9" t="s">
        <v>402</v>
      </c>
      <c r="D423" s="6" t="s">
        <v>403</v>
      </c>
      <c r="E423" s="1" t="s">
        <v>405</v>
      </c>
      <c r="F423" s="1" t="s">
        <v>36</v>
      </c>
      <c r="G423" s="1"/>
      <c r="H423" s="4">
        <v>5432.5</v>
      </c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18"/>
      <c r="X423" s="4"/>
      <c r="Y423" s="4"/>
      <c r="Z423" s="4"/>
      <c r="AA423" s="4"/>
      <c r="AB423" s="4"/>
      <c r="AC423" s="4"/>
      <c r="AD423" s="4"/>
      <c r="AE423" s="4"/>
      <c r="AF423" s="4"/>
      <c r="AG423" s="16"/>
      <c r="AH423" s="16"/>
      <c r="AI423" s="2">
        <f t="shared" si="51"/>
        <v>5432.5</v>
      </c>
      <c r="AJ423" s="2">
        <f t="shared" si="52"/>
        <v>0</v>
      </c>
      <c r="AK423" s="2">
        <f t="shared" si="53"/>
        <v>0</v>
      </c>
      <c r="AL423" s="2">
        <f t="shared" si="48"/>
        <v>5432.5</v>
      </c>
      <c r="AM423" s="2">
        <f t="shared" si="49"/>
        <v>0</v>
      </c>
      <c r="AN423" s="2">
        <f t="shared" si="50"/>
        <v>5432.5</v>
      </c>
    </row>
    <row r="424" spans="1:40" ht="31.5" customHeight="1" x14ac:dyDescent="0.25">
      <c r="A424" s="55">
        <v>638</v>
      </c>
      <c r="B424" s="11" t="s">
        <v>26</v>
      </c>
      <c r="C424" s="9" t="s">
        <v>79</v>
      </c>
      <c r="D424" s="6" t="s">
        <v>404</v>
      </c>
      <c r="E424" s="1" t="s">
        <v>406</v>
      </c>
      <c r="F424" s="1" t="s">
        <v>37</v>
      </c>
      <c r="G424" s="1"/>
      <c r="H424" s="4">
        <v>10000</v>
      </c>
      <c r="I424" s="4"/>
      <c r="J424" s="4"/>
      <c r="K424" s="4"/>
      <c r="L424" s="4"/>
      <c r="M424" s="4"/>
      <c r="N424" s="4"/>
      <c r="O424" s="4"/>
      <c r="P424" s="4"/>
      <c r="Q424" s="4">
        <v>10000</v>
      </c>
      <c r="R424" s="4"/>
      <c r="S424" s="4"/>
      <c r="T424" s="4"/>
      <c r="U424" s="4"/>
      <c r="V424" s="4"/>
      <c r="W424" s="18"/>
      <c r="X424" s="4"/>
      <c r="Y424" s="4"/>
      <c r="Z424" s="4"/>
      <c r="AA424" s="4"/>
      <c r="AB424" s="4"/>
      <c r="AC424" s="4">
        <v>10000</v>
      </c>
      <c r="AD424" s="4"/>
      <c r="AE424" s="4"/>
      <c r="AF424" s="4"/>
      <c r="AG424" s="16"/>
      <c r="AH424" s="16"/>
      <c r="AI424" s="2">
        <f t="shared" si="51"/>
        <v>10000</v>
      </c>
      <c r="AJ424" s="2">
        <f t="shared" si="52"/>
        <v>10000</v>
      </c>
      <c r="AK424" s="2">
        <f t="shared" si="53"/>
        <v>10000</v>
      </c>
      <c r="AL424" s="2">
        <f t="shared" si="48"/>
        <v>0</v>
      </c>
      <c r="AM424" s="2">
        <f t="shared" si="49"/>
        <v>0</v>
      </c>
      <c r="AN424" s="2">
        <f t="shared" si="50"/>
        <v>0</v>
      </c>
    </row>
    <row r="425" spans="1:40" ht="31.5" customHeight="1" x14ac:dyDescent="0.25">
      <c r="A425" s="55">
        <v>656</v>
      </c>
      <c r="B425" s="11" t="s">
        <v>26</v>
      </c>
      <c r="C425" s="9" t="s">
        <v>160</v>
      </c>
      <c r="D425" s="6" t="s">
        <v>407</v>
      </c>
      <c r="E425" s="1" t="s">
        <v>410</v>
      </c>
      <c r="F425" s="1" t="s">
        <v>37</v>
      </c>
      <c r="G425" s="1"/>
      <c r="H425" s="4">
        <v>300</v>
      </c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18"/>
      <c r="X425" s="4"/>
      <c r="Y425" s="4"/>
      <c r="Z425" s="4"/>
      <c r="AA425" s="4"/>
      <c r="AB425" s="4"/>
      <c r="AC425" s="4"/>
      <c r="AD425" s="4"/>
      <c r="AE425" s="4"/>
      <c r="AF425" s="4"/>
      <c r="AG425" s="16"/>
      <c r="AH425" s="4"/>
      <c r="AI425" s="2">
        <f t="shared" si="51"/>
        <v>300</v>
      </c>
      <c r="AJ425" s="2">
        <f t="shared" si="52"/>
        <v>0</v>
      </c>
      <c r="AK425" s="2">
        <f t="shared" si="53"/>
        <v>0</v>
      </c>
      <c r="AL425" s="2">
        <f t="shared" si="48"/>
        <v>300</v>
      </c>
      <c r="AM425" s="2">
        <f t="shared" si="49"/>
        <v>0</v>
      </c>
      <c r="AN425" s="2">
        <f t="shared" si="50"/>
        <v>300</v>
      </c>
    </row>
    <row r="426" spans="1:40" ht="31.5" customHeight="1" x14ac:dyDescent="0.25">
      <c r="A426" s="55">
        <v>657</v>
      </c>
      <c r="B426" s="11" t="s">
        <v>26</v>
      </c>
      <c r="C426" s="9" t="s">
        <v>160</v>
      </c>
      <c r="D426" s="6" t="s">
        <v>407</v>
      </c>
      <c r="E426" s="1" t="s">
        <v>410</v>
      </c>
      <c r="F426" s="1" t="s">
        <v>37</v>
      </c>
      <c r="G426" s="1"/>
      <c r="H426" s="4">
        <v>300</v>
      </c>
      <c r="I426" s="4"/>
      <c r="J426" s="4"/>
      <c r="K426" s="4"/>
      <c r="L426" s="4"/>
      <c r="M426" s="4"/>
      <c r="N426" s="4"/>
      <c r="O426" s="4"/>
      <c r="P426" s="4"/>
      <c r="Q426" s="4">
        <v>300</v>
      </c>
      <c r="R426" s="4"/>
      <c r="S426" s="4"/>
      <c r="T426" s="4"/>
      <c r="U426" s="4"/>
      <c r="V426" s="4"/>
      <c r="W426" s="18"/>
      <c r="X426" s="4"/>
      <c r="Y426" s="4"/>
      <c r="Z426" s="4"/>
      <c r="AA426" s="4"/>
      <c r="AB426" s="4"/>
      <c r="AC426" s="4">
        <v>300</v>
      </c>
      <c r="AD426" s="4"/>
      <c r="AE426" s="4"/>
      <c r="AF426" s="4"/>
      <c r="AG426" s="16"/>
      <c r="AH426" s="16"/>
      <c r="AI426" s="2">
        <f t="shared" si="51"/>
        <v>300</v>
      </c>
      <c r="AJ426" s="2">
        <f t="shared" si="52"/>
        <v>300</v>
      </c>
      <c r="AK426" s="2">
        <f t="shared" si="53"/>
        <v>300</v>
      </c>
      <c r="AL426" s="2">
        <f t="shared" si="48"/>
        <v>0</v>
      </c>
      <c r="AM426" s="2">
        <f t="shared" si="49"/>
        <v>0</v>
      </c>
      <c r="AN426" s="2">
        <f t="shared" si="50"/>
        <v>0</v>
      </c>
    </row>
    <row r="427" spans="1:40" ht="31.5" customHeight="1" x14ac:dyDescent="0.25">
      <c r="A427" s="55">
        <v>661</v>
      </c>
      <c r="B427" s="11" t="s">
        <v>26</v>
      </c>
      <c r="C427" s="9" t="s">
        <v>94</v>
      </c>
      <c r="D427" s="6" t="s">
        <v>408</v>
      </c>
      <c r="E427" s="1" t="s">
        <v>93</v>
      </c>
      <c r="F427" s="1" t="s">
        <v>36</v>
      </c>
      <c r="G427" s="1"/>
      <c r="H427" s="4">
        <v>1200</v>
      </c>
      <c r="I427" s="4"/>
      <c r="J427" s="4"/>
      <c r="K427" s="4"/>
      <c r="L427" s="4"/>
      <c r="M427" s="4"/>
      <c r="N427" s="4"/>
      <c r="O427" s="4"/>
      <c r="P427" s="4"/>
      <c r="Q427" s="4">
        <v>1200</v>
      </c>
      <c r="R427" s="4"/>
      <c r="S427" s="4"/>
      <c r="T427" s="4"/>
      <c r="U427" s="4"/>
      <c r="V427" s="4"/>
      <c r="W427" s="18"/>
      <c r="X427" s="4"/>
      <c r="Y427" s="4"/>
      <c r="Z427" s="4"/>
      <c r="AA427" s="4"/>
      <c r="AB427" s="4"/>
      <c r="AC427" s="4">
        <v>1200</v>
      </c>
      <c r="AD427" s="4"/>
      <c r="AE427" s="4"/>
      <c r="AF427" s="4"/>
      <c r="AG427" s="16"/>
      <c r="AH427" s="16"/>
      <c r="AI427" s="2">
        <f t="shared" si="51"/>
        <v>1200</v>
      </c>
      <c r="AJ427" s="2">
        <f t="shared" si="52"/>
        <v>1200</v>
      </c>
      <c r="AK427" s="2">
        <f t="shared" si="53"/>
        <v>1200</v>
      </c>
      <c r="AL427" s="2">
        <f t="shared" si="48"/>
        <v>0</v>
      </c>
      <c r="AM427" s="2">
        <f t="shared" si="49"/>
        <v>0</v>
      </c>
      <c r="AN427" s="2">
        <f t="shared" si="50"/>
        <v>0</v>
      </c>
    </row>
    <row r="428" spans="1:40" ht="31.5" customHeight="1" x14ac:dyDescent="0.25">
      <c r="A428" s="55">
        <v>662</v>
      </c>
      <c r="B428" s="11" t="s">
        <v>26</v>
      </c>
      <c r="C428" s="9" t="s">
        <v>94</v>
      </c>
      <c r="D428" s="6" t="s">
        <v>286</v>
      </c>
      <c r="E428" s="1" t="s">
        <v>287</v>
      </c>
      <c r="F428" s="1" t="s">
        <v>36</v>
      </c>
      <c r="G428" s="1"/>
      <c r="H428" s="4">
        <v>1200</v>
      </c>
      <c r="I428" s="4"/>
      <c r="J428" s="4"/>
      <c r="K428" s="4"/>
      <c r="L428" s="4"/>
      <c r="M428" s="4"/>
      <c r="N428" s="4"/>
      <c r="O428" s="4"/>
      <c r="P428" s="4"/>
      <c r="Q428" s="4">
        <v>1200</v>
      </c>
      <c r="R428" s="4"/>
      <c r="S428" s="4"/>
      <c r="T428" s="4"/>
      <c r="U428" s="4"/>
      <c r="V428" s="4"/>
      <c r="W428" s="18"/>
      <c r="X428" s="4"/>
      <c r="Y428" s="4"/>
      <c r="Z428" s="4"/>
      <c r="AA428" s="4"/>
      <c r="AB428" s="4"/>
      <c r="AC428" s="4">
        <v>1200</v>
      </c>
      <c r="AD428" s="4"/>
      <c r="AE428" s="4"/>
      <c r="AF428" s="4"/>
      <c r="AG428" s="16"/>
      <c r="AH428" s="16"/>
      <c r="AI428" s="2">
        <f t="shared" si="51"/>
        <v>1200</v>
      </c>
      <c r="AJ428" s="2">
        <f t="shared" si="52"/>
        <v>1200</v>
      </c>
      <c r="AK428" s="2">
        <f t="shared" si="53"/>
        <v>1200</v>
      </c>
      <c r="AL428" s="2">
        <f t="shared" si="48"/>
        <v>0</v>
      </c>
      <c r="AM428" s="2">
        <f t="shared" si="49"/>
        <v>0</v>
      </c>
      <c r="AN428" s="2">
        <f t="shared" si="50"/>
        <v>0</v>
      </c>
    </row>
    <row r="429" spans="1:40" ht="31.5" customHeight="1" x14ac:dyDescent="0.25">
      <c r="A429" s="55">
        <v>663</v>
      </c>
      <c r="B429" s="11" t="s">
        <v>26</v>
      </c>
      <c r="C429" s="9" t="s">
        <v>160</v>
      </c>
      <c r="D429" s="6" t="s">
        <v>409</v>
      </c>
      <c r="E429" s="1" t="s">
        <v>411</v>
      </c>
      <c r="F429" s="1" t="s">
        <v>37</v>
      </c>
      <c r="G429" s="1"/>
      <c r="H429" s="4">
        <v>700</v>
      </c>
      <c r="I429" s="4"/>
      <c r="J429" s="4"/>
      <c r="K429" s="4"/>
      <c r="L429" s="4"/>
      <c r="M429" s="4"/>
      <c r="N429" s="4"/>
      <c r="O429" s="4"/>
      <c r="P429" s="4"/>
      <c r="Q429" s="4">
        <v>700</v>
      </c>
      <c r="R429" s="4"/>
      <c r="S429" s="4"/>
      <c r="T429" s="4"/>
      <c r="U429" s="4"/>
      <c r="V429" s="4"/>
      <c r="W429" s="18"/>
      <c r="X429" s="4"/>
      <c r="Y429" s="4"/>
      <c r="Z429" s="4"/>
      <c r="AA429" s="4"/>
      <c r="AB429" s="4"/>
      <c r="AC429" s="4">
        <v>700</v>
      </c>
      <c r="AD429" s="4"/>
      <c r="AE429" s="4"/>
      <c r="AF429" s="4"/>
      <c r="AG429" s="16"/>
      <c r="AH429" s="16"/>
      <c r="AI429" s="2">
        <f t="shared" si="51"/>
        <v>700</v>
      </c>
      <c r="AJ429" s="2">
        <f t="shared" si="52"/>
        <v>700</v>
      </c>
      <c r="AK429" s="2">
        <f t="shared" si="53"/>
        <v>700</v>
      </c>
      <c r="AL429" s="2">
        <f t="shared" si="48"/>
        <v>0</v>
      </c>
      <c r="AM429" s="2">
        <f t="shared" si="49"/>
        <v>0</v>
      </c>
      <c r="AN429" s="2">
        <f t="shared" si="50"/>
        <v>0</v>
      </c>
    </row>
    <row r="430" spans="1:40" ht="31.5" customHeight="1" x14ac:dyDescent="0.25">
      <c r="A430" s="55">
        <v>664</v>
      </c>
      <c r="B430" s="11" t="s">
        <v>56</v>
      </c>
      <c r="C430" s="9" t="s">
        <v>412</v>
      </c>
      <c r="D430" s="6" t="s">
        <v>167</v>
      </c>
      <c r="E430" s="1" t="s">
        <v>99</v>
      </c>
      <c r="F430" s="1" t="s">
        <v>36</v>
      </c>
      <c r="G430" s="1"/>
      <c r="H430" s="4">
        <v>200</v>
      </c>
      <c r="I430" s="4"/>
      <c r="J430" s="4"/>
      <c r="K430" s="4"/>
      <c r="L430" s="4"/>
      <c r="M430" s="4"/>
      <c r="N430" s="4"/>
      <c r="O430" s="4"/>
      <c r="P430" s="4"/>
      <c r="Q430" s="4">
        <v>5221.42</v>
      </c>
      <c r="R430" s="4">
        <v>5548.61</v>
      </c>
      <c r="S430" s="4"/>
      <c r="T430" s="4"/>
      <c r="U430" s="4"/>
      <c r="V430" s="4"/>
      <c r="W430" s="18"/>
      <c r="X430" s="4"/>
      <c r="Y430" s="4"/>
      <c r="Z430" s="4"/>
      <c r="AA430" s="4"/>
      <c r="AB430" s="4"/>
      <c r="AC430" s="4">
        <v>5221.42</v>
      </c>
      <c r="AD430" s="4">
        <v>5548.61</v>
      </c>
      <c r="AE430" s="4"/>
      <c r="AF430" s="4"/>
      <c r="AG430" s="16"/>
      <c r="AH430" s="4">
        <v>10600</v>
      </c>
      <c r="AI430" s="2">
        <f t="shared" si="51"/>
        <v>10800</v>
      </c>
      <c r="AJ430" s="2">
        <f t="shared" si="52"/>
        <v>10770.029999999999</v>
      </c>
      <c r="AK430" s="2">
        <f t="shared" si="53"/>
        <v>10770.029999999999</v>
      </c>
      <c r="AL430" s="2">
        <f t="shared" si="48"/>
        <v>29.970000000001164</v>
      </c>
      <c r="AM430" s="2">
        <f t="shared" si="49"/>
        <v>0</v>
      </c>
      <c r="AN430" s="2">
        <f t="shared" si="50"/>
        <v>29.970000000001164</v>
      </c>
    </row>
    <row r="431" spans="1:40" ht="31.5" customHeight="1" x14ac:dyDescent="0.25">
      <c r="A431" s="55">
        <v>665</v>
      </c>
      <c r="B431" s="11" t="s">
        <v>26</v>
      </c>
      <c r="C431" s="9" t="s">
        <v>94</v>
      </c>
      <c r="D431" s="6" t="s">
        <v>288</v>
      </c>
      <c r="E431" s="1" t="s">
        <v>289</v>
      </c>
      <c r="F431" s="1" t="s">
        <v>36</v>
      </c>
      <c r="G431" s="1"/>
      <c r="H431" s="4">
        <v>1200</v>
      </c>
      <c r="I431" s="4"/>
      <c r="J431" s="4"/>
      <c r="K431" s="4"/>
      <c r="L431" s="4"/>
      <c r="M431" s="4"/>
      <c r="N431" s="4"/>
      <c r="O431" s="4"/>
      <c r="P431" s="4"/>
      <c r="Q431" s="4">
        <v>1200</v>
      </c>
      <c r="R431" s="4"/>
      <c r="S431" s="4"/>
      <c r="T431" s="4"/>
      <c r="U431" s="4"/>
      <c r="V431" s="4"/>
      <c r="W431" s="18"/>
      <c r="X431" s="4"/>
      <c r="Y431" s="4"/>
      <c r="Z431" s="4"/>
      <c r="AA431" s="4"/>
      <c r="AB431" s="4"/>
      <c r="AC431" s="4">
        <v>1200</v>
      </c>
      <c r="AD431" s="4"/>
      <c r="AE431" s="4"/>
      <c r="AF431" s="4"/>
      <c r="AG431" s="16"/>
      <c r="AH431" s="16"/>
      <c r="AI431" s="2">
        <f t="shared" si="51"/>
        <v>1200</v>
      </c>
      <c r="AJ431" s="2">
        <f t="shared" si="52"/>
        <v>1200</v>
      </c>
      <c r="AK431" s="2">
        <f t="shared" si="53"/>
        <v>1200</v>
      </c>
      <c r="AL431" s="2">
        <f t="shared" si="48"/>
        <v>0</v>
      </c>
      <c r="AM431" s="2">
        <f t="shared" si="49"/>
        <v>0</v>
      </c>
      <c r="AN431" s="2">
        <f t="shared" si="50"/>
        <v>0</v>
      </c>
    </row>
    <row r="432" spans="1:40" ht="31.5" customHeight="1" x14ac:dyDescent="0.25">
      <c r="A432" s="55">
        <v>670</v>
      </c>
      <c r="B432" s="11" t="s">
        <v>26</v>
      </c>
      <c r="C432" s="9" t="s">
        <v>94</v>
      </c>
      <c r="D432" s="6" t="s">
        <v>408</v>
      </c>
      <c r="E432" s="1" t="s">
        <v>93</v>
      </c>
      <c r="F432" s="1" t="s">
        <v>36</v>
      </c>
      <c r="G432" s="1"/>
      <c r="H432" s="4">
        <v>800</v>
      </c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18"/>
      <c r="X432" s="4"/>
      <c r="Y432" s="4"/>
      <c r="Z432" s="4"/>
      <c r="AA432" s="4"/>
      <c r="AB432" s="4"/>
      <c r="AC432" s="4"/>
      <c r="AD432" s="4"/>
      <c r="AE432" s="4"/>
      <c r="AF432" s="4"/>
      <c r="AG432" s="4">
        <v>800</v>
      </c>
      <c r="AH432" s="16"/>
      <c r="AI432" s="2">
        <f t="shared" si="51"/>
        <v>0</v>
      </c>
      <c r="AJ432" s="2">
        <f t="shared" si="52"/>
        <v>0</v>
      </c>
      <c r="AK432" s="2">
        <f t="shared" si="53"/>
        <v>0</v>
      </c>
      <c r="AL432" s="2">
        <f t="shared" si="48"/>
        <v>0</v>
      </c>
      <c r="AM432" s="2">
        <f t="shared" si="49"/>
        <v>0</v>
      </c>
      <c r="AN432" s="2">
        <f t="shared" si="50"/>
        <v>0</v>
      </c>
    </row>
    <row r="433" spans="1:40" ht="31.5" customHeight="1" x14ac:dyDescent="0.25">
      <c r="A433" s="55">
        <v>671</v>
      </c>
      <c r="B433" s="11" t="s">
        <v>26</v>
      </c>
      <c r="C433" s="9" t="s">
        <v>94</v>
      </c>
      <c r="D433" s="6" t="s">
        <v>108</v>
      </c>
      <c r="E433" s="1" t="s">
        <v>109</v>
      </c>
      <c r="F433" s="1" t="s">
        <v>36</v>
      </c>
      <c r="G433" s="1"/>
      <c r="H433" s="4">
        <v>1200</v>
      </c>
      <c r="I433" s="4"/>
      <c r="J433" s="4"/>
      <c r="K433" s="4"/>
      <c r="L433" s="4"/>
      <c r="M433" s="4"/>
      <c r="N433" s="4"/>
      <c r="O433" s="4"/>
      <c r="P433" s="4"/>
      <c r="Q433" s="4">
        <v>1200</v>
      </c>
      <c r="R433" s="4"/>
      <c r="S433" s="4"/>
      <c r="T433" s="4"/>
      <c r="U433" s="4"/>
      <c r="V433" s="4"/>
      <c r="W433" s="18"/>
      <c r="X433" s="4"/>
      <c r="Y433" s="4"/>
      <c r="Z433" s="4"/>
      <c r="AA433" s="4"/>
      <c r="AB433" s="4"/>
      <c r="AC433" s="4">
        <v>1200</v>
      </c>
      <c r="AD433" s="4"/>
      <c r="AE433" s="4"/>
      <c r="AF433" s="4"/>
      <c r="AG433" s="16"/>
      <c r="AH433" s="16"/>
      <c r="AI433" s="2">
        <f t="shared" si="51"/>
        <v>1200</v>
      </c>
      <c r="AJ433" s="2">
        <f t="shared" si="52"/>
        <v>1200</v>
      </c>
      <c r="AK433" s="2">
        <f t="shared" si="53"/>
        <v>1200</v>
      </c>
      <c r="AL433" s="2">
        <f t="shared" si="48"/>
        <v>0</v>
      </c>
      <c r="AM433" s="2">
        <f t="shared" si="49"/>
        <v>0</v>
      </c>
      <c r="AN433" s="2">
        <f t="shared" si="50"/>
        <v>0</v>
      </c>
    </row>
    <row r="434" spans="1:40" ht="31.5" customHeight="1" x14ac:dyDescent="0.25">
      <c r="A434" s="55">
        <v>672</v>
      </c>
      <c r="B434" s="11" t="s">
        <v>26</v>
      </c>
      <c r="C434" s="9" t="s">
        <v>94</v>
      </c>
      <c r="D434" s="6" t="s">
        <v>92</v>
      </c>
      <c r="E434" s="1" t="s">
        <v>93</v>
      </c>
      <c r="F434" s="1" t="s">
        <v>36</v>
      </c>
      <c r="G434" s="1"/>
      <c r="H434" s="4">
        <v>1200</v>
      </c>
      <c r="I434" s="4"/>
      <c r="J434" s="4"/>
      <c r="K434" s="4"/>
      <c r="L434" s="4"/>
      <c r="M434" s="4"/>
      <c r="N434" s="4"/>
      <c r="O434" s="4"/>
      <c r="P434" s="4"/>
      <c r="Q434" s="4">
        <v>1200</v>
      </c>
      <c r="R434" s="4"/>
      <c r="S434" s="4"/>
      <c r="T434" s="4"/>
      <c r="U434" s="4"/>
      <c r="V434" s="4"/>
      <c r="W434" s="18"/>
      <c r="X434" s="4"/>
      <c r="Y434" s="4"/>
      <c r="Z434" s="4"/>
      <c r="AA434" s="4"/>
      <c r="AB434" s="4"/>
      <c r="AC434" s="4">
        <v>1200</v>
      </c>
      <c r="AD434" s="4"/>
      <c r="AE434" s="4"/>
      <c r="AF434" s="4"/>
      <c r="AG434" s="16"/>
      <c r="AH434" s="16"/>
      <c r="AI434" s="2">
        <f t="shared" si="51"/>
        <v>1200</v>
      </c>
      <c r="AJ434" s="2">
        <f t="shared" si="52"/>
        <v>1200</v>
      </c>
      <c r="AK434" s="2">
        <f t="shared" si="53"/>
        <v>1200</v>
      </c>
      <c r="AL434" s="2">
        <f t="shared" ref="AL434:AL497" si="54">SUM(AJ434-AK434)+(AI434-AJ434)</f>
        <v>0</v>
      </c>
      <c r="AM434" s="2">
        <f t="shared" ref="AM434:AM497" si="55">SUM(AJ434-AK434)</f>
        <v>0</v>
      </c>
      <c r="AN434" s="2">
        <f t="shared" ref="AN434:AN497" si="56">SUM(AI434-AJ434)</f>
        <v>0</v>
      </c>
    </row>
    <row r="435" spans="1:40" ht="31.5" customHeight="1" x14ac:dyDescent="0.25">
      <c r="A435" s="55">
        <v>674</v>
      </c>
      <c r="B435" s="11" t="s">
        <v>26</v>
      </c>
      <c r="C435" s="9" t="s">
        <v>413</v>
      </c>
      <c r="D435" s="6" t="s">
        <v>414</v>
      </c>
      <c r="E435" s="1" t="s">
        <v>415</v>
      </c>
      <c r="F435" s="1" t="s">
        <v>36</v>
      </c>
      <c r="G435" s="1"/>
      <c r="H435" s="4">
        <v>344.01</v>
      </c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18"/>
      <c r="X435" s="4"/>
      <c r="Y435" s="4"/>
      <c r="Z435" s="4"/>
      <c r="AA435" s="4"/>
      <c r="AB435" s="4"/>
      <c r="AC435" s="4"/>
      <c r="AD435" s="4"/>
      <c r="AE435" s="4"/>
      <c r="AF435" s="4"/>
      <c r="AG435" s="16"/>
      <c r="AH435" s="4"/>
      <c r="AI435" s="2">
        <f t="shared" si="51"/>
        <v>344.01</v>
      </c>
      <c r="AJ435" s="2">
        <f t="shared" si="52"/>
        <v>0</v>
      </c>
      <c r="AK435" s="2">
        <f t="shared" si="53"/>
        <v>0</v>
      </c>
      <c r="AL435" s="2">
        <f t="shared" si="54"/>
        <v>344.01</v>
      </c>
      <c r="AM435" s="2">
        <f t="shared" si="55"/>
        <v>0</v>
      </c>
      <c r="AN435" s="2">
        <f t="shared" si="56"/>
        <v>344.01</v>
      </c>
    </row>
    <row r="436" spans="1:40" ht="31.5" customHeight="1" x14ac:dyDescent="0.25">
      <c r="A436" s="55">
        <v>711</v>
      </c>
      <c r="B436" s="11" t="s">
        <v>26</v>
      </c>
      <c r="C436" s="9" t="s">
        <v>114</v>
      </c>
      <c r="D436" s="6" t="s">
        <v>115</v>
      </c>
      <c r="E436" s="1" t="s">
        <v>116</v>
      </c>
      <c r="F436" s="1" t="s">
        <v>36</v>
      </c>
      <c r="G436" s="1"/>
      <c r="H436" s="4">
        <v>50</v>
      </c>
      <c r="I436" s="4"/>
      <c r="J436" s="4"/>
      <c r="K436" s="4"/>
      <c r="L436" s="4"/>
      <c r="M436" s="4"/>
      <c r="N436" s="4"/>
      <c r="O436" s="4"/>
      <c r="P436" s="4"/>
      <c r="Q436" s="4">
        <v>50</v>
      </c>
      <c r="R436" s="4"/>
      <c r="S436" s="4"/>
      <c r="T436" s="4"/>
      <c r="U436" s="4"/>
      <c r="V436" s="4"/>
      <c r="W436" s="18"/>
      <c r="X436" s="4"/>
      <c r="Y436" s="4"/>
      <c r="Z436" s="4"/>
      <c r="AA436" s="4"/>
      <c r="AB436" s="4"/>
      <c r="AC436" s="4">
        <v>50</v>
      </c>
      <c r="AD436" s="4"/>
      <c r="AE436" s="4"/>
      <c r="AF436" s="4"/>
      <c r="AG436" s="16"/>
      <c r="AH436" s="16"/>
      <c r="AI436" s="2">
        <f t="shared" si="51"/>
        <v>50</v>
      </c>
      <c r="AJ436" s="2">
        <f t="shared" si="52"/>
        <v>50</v>
      </c>
      <c r="AK436" s="2">
        <f t="shared" si="53"/>
        <v>50</v>
      </c>
      <c r="AL436" s="2">
        <f t="shared" si="54"/>
        <v>0</v>
      </c>
      <c r="AM436" s="2">
        <f t="shared" si="55"/>
        <v>0</v>
      </c>
      <c r="AN436" s="2">
        <f t="shared" si="56"/>
        <v>0</v>
      </c>
    </row>
    <row r="437" spans="1:40" ht="31.5" customHeight="1" x14ac:dyDescent="0.25">
      <c r="A437" s="55">
        <v>717</v>
      </c>
      <c r="B437" s="11" t="s">
        <v>26</v>
      </c>
      <c r="C437" s="9" t="s">
        <v>79</v>
      </c>
      <c r="D437" s="6" t="s">
        <v>416</v>
      </c>
      <c r="E437" s="1" t="s">
        <v>417</v>
      </c>
      <c r="F437" s="1" t="s">
        <v>36</v>
      </c>
      <c r="G437" s="1"/>
      <c r="H437" s="4">
        <v>209000</v>
      </c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18"/>
      <c r="X437" s="4"/>
      <c r="Y437" s="4"/>
      <c r="Z437" s="4"/>
      <c r="AA437" s="4"/>
      <c r="AB437" s="4"/>
      <c r="AC437" s="4"/>
      <c r="AD437" s="4"/>
      <c r="AE437" s="4"/>
      <c r="AF437" s="4"/>
      <c r="AG437" s="4">
        <v>209000</v>
      </c>
      <c r="AH437" s="16"/>
      <c r="AI437" s="2">
        <f t="shared" si="51"/>
        <v>0</v>
      </c>
      <c r="AJ437" s="2">
        <f t="shared" si="52"/>
        <v>0</v>
      </c>
      <c r="AK437" s="2">
        <f t="shared" si="53"/>
        <v>0</v>
      </c>
      <c r="AL437" s="2">
        <f t="shared" si="54"/>
        <v>0</v>
      </c>
      <c r="AM437" s="2">
        <f t="shared" si="55"/>
        <v>0</v>
      </c>
      <c r="AN437" s="2">
        <f t="shared" si="56"/>
        <v>0</v>
      </c>
    </row>
    <row r="438" spans="1:40" ht="31.5" customHeight="1" x14ac:dyDescent="0.25">
      <c r="A438" s="55">
        <v>724</v>
      </c>
      <c r="B438" s="11" t="s">
        <v>26</v>
      </c>
      <c r="C438" s="9" t="s">
        <v>79</v>
      </c>
      <c r="D438" s="6" t="s">
        <v>416</v>
      </c>
      <c r="E438" s="1" t="s">
        <v>417</v>
      </c>
      <c r="F438" s="1" t="s">
        <v>36</v>
      </c>
      <c r="G438" s="1"/>
      <c r="H438" s="4">
        <v>209000</v>
      </c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18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16"/>
      <c r="AI438" s="2">
        <f t="shared" si="51"/>
        <v>209000</v>
      </c>
      <c r="AJ438" s="2">
        <f t="shared" si="52"/>
        <v>0</v>
      </c>
      <c r="AK438" s="2">
        <f t="shared" si="53"/>
        <v>0</v>
      </c>
      <c r="AL438" s="2">
        <f t="shared" si="54"/>
        <v>209000</v>
      </c>
      <c r="AM438" s="2">
        <f t="shared" si="55"/>
        <v>0</v>
      </c>
      <c r="AN438" s="2">
        <f t="shared" si="56"/>
        <v>209000</v>
      </c>
    </row>
    <row r="439" spans="1:40" ht="31.5" customHeight="1" x14ac:dyDescent="0.25">
      <c r="A439" s="55">
        <v>725</v>
      </c>
      <c r="B439" s="11" t="s">
        <v>26</v>
      </c>
      <c r="C439" s="9" t="s">
        <v>270</v>
      </c>
      <c r="D439" s="6" t="s">
        <v>418</v>
      </c>
      <c r="E439" s="1" t="s">
        <v>419</v>
      </c>
      <c r="F439" s="1" t="s">
        <v>37</v>
      </c>
      <c r="G439" s="1"/>
      <c r="H439" s="4">
        <v>22800</v>
      </c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18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16"/>
      <c r="AI439" s="2">
        <f t="shared" si="51"/>
        <v>22800</v>
      </c>
      <c r="AJ439" s="2">
        <f t="shared" si="52"/>
        <v>0</v>
      </c>
      <c r="AK439" s="2">
        <f t="shared" si="53"/>
        <v>0</v>
      </c>
      <c r="AL439" s="2">
        <f t="shared" si="54"/>
        <v>22800</v>
      </c>
      <c r="AM439" s="2">
        <f t="shared" si="55"/>
        <v>0</v>
      </c>
      <c r="AN439" s="2">
        <f t="shared" si="56"/>
        <v>22800</v>
      </c>
    </row>
    <row r="440" spans="1:40" ht="31.5" customHeight="1" x14ac:dyDescent="0.25">
      <c r="A440" s="55">
        <v>737</v>
      </c>
      <c r="B440" s="11" t="s">
        <v>56</v>
      </c>
      <c r="C440" s="9" t="s">
        <v>74</v>
      </c>
      <c r="D440" s="6" t="s">
        <v>72</v>
      </c>
      <c r="E440" s="1" t="s">
        <v>73</v>
      </c>
      <c r="F440" s="1" t="s">
        <v>36</v>
      </c>
      <c r="G440" s="1"/>
      <c r="H440" s="4">
        <v>60000</v>
      </c>
      <c r="I440" s="4"/>
      <c r="J440" s="4"/>
      <c r="K440" s="4"/>
      <c r="L440" s="4"/>
      <c r="M440" s="4"/>
      <c r="N440" s="4"/>
      <c r="O440" s="4"/>
      <c r="P440" s="4"/>
      <c r="Q440" s="4"/>
      <c r="R440" s="4">
        <f>46792.44+24291.83+63476.66+3723.25</f>
        <v>138284.18</v>
      </c>
      <c r="S440" s="4"/>
      <c r="T440" s="4"/>
      <c r="U440" s="4"/>
      <c r="V440" s="4"/>
      <c r="W440" s="18"/>
      <c r="X440" s="4"/>
      <c r="Y440" s="4"/>
      <c r="Z440" s="4"/>
      <c r="AA440" s="4"/>
      <c r="AB440" s="4"/>
      <c r="AC440" s="4"/>
      <c r="AD440" s="4">
        <f>46792.44+24291.83+63476.66+3723.25</f>
        <v>138284.18</v>
      </c>
      <c r="AE440" s="4"/>
      <c r="AF440" s="4"/>
      <c r="AG440" s="4"/>
      <c r="AH440" s="4">
        <v>100000</v>
      </c>
      <c r="AI440" s="2">
        <f t="shared" si="51"/>
        <v>160000</v>
      </c>
      <c r="AJ440" s="2">
        <f t="shared" si="52"/>
        <v>138284.18</v>
      </c>
      <c r="AK440" s="2">
        <f t="shared" si="53"/>
        <v>138284.18</v>
      </c>
      <c r="AL440" s="2">
        <f t="shared" si="54"/>
        <v>21715.820000000007</v>
      </c>
      <c r="AM440" s="2">
        <f t="shared" si="55"/>
        <v>0</v>
      </c>
      <c r="AN440" s="2">
        <f t="shared" si="56"/>
        <v>21715.820000000007</v>
      </c>
    </row>
    <row r="441" spans="1:40" ht="31.5" customHeight="1" x14ac:dyDescent="0.25">
      <c r="A441" s="55">
        <v>741</v>
      </c>
      <c r="B441" s="11" t="s">
        <v>26</v>
      </c>
      <c r="C441" s="9" t="s">
        <v>42</v>
      </c>
      <c r="D441" s="6" t="s">
        <v>420</v>
      </c>
      <c r="E441" s="1" t="s">
        <v>421</v>
      </c>
      <c r="F441" s="1" t="s">
        <v>66</v>
      </c>
      <c r="G441" s="1"/>
      <c r="H441" s="4">
        <v>6432.63</v>
      </c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18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2">
        <f t="shared" si="51"/>
        <v>6432.63</v>
      </c>
      <c r="AJ441" s="2">
        <f t="shared" si="52"/>
        <v>0</v>
      </c>
      <c r="AK441" s="2">
        <f t="shared" si="53"/>
        <v>0</v>
      </c>
      <c r="AL441" s="2">
        <f t="shared" si="54"/>
        <v>6432.63</v>
      </c>
      <c r="AM441" s="2">
        <f t="shared" si="55"/>
        <v>0</v>
      </c>
      <c r="AN441" s="2">
        <f t="shared" si="56"/>
        <v>6432.63</v>
      </c>
    </row>
    <row r="442" spans="1:40" ht="31.5" customHeight="1" x14ac:dyDescent="0.25">
      <c r="A442" s="55">
        <v>748</v>
      </c>
      <c r="B442" s="11" t="s">
        <v>26</v>
      </c>
      <c r="C442" s="9" t="s">
        <v>422</v>
      </c>
      <c r="D442" s="6" t="s">
        <v>423</v>
      </c>
      <c r="E442" s="1" t="s">
        <v>424</v>
      </c>
      <c r="F442" s="1" t="s">
        <v>37</v>
      </c>
      <c r="G442" s="1"/>
      <c r="H442" s="4">
        <v>156125</v>
      </c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18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2">
        <f t="shared" si="51"/>
        <v>156125</v>
      </c>
      <c r="AJ442" s="2">
        <f t="shared" si="52"/>
        <v>0</v>
      </c>
      <c r="AK442" s="2">
        <f t="shared" si="53"/>
        <v>0</v>
      </c>
      <c r="AL442" s="2">
        <f t="shared" si="54"/>
        <v>156125</v>
      </c>
      <c r="AM442" s="2">
        <f t="shared" si="55"/>
        <v>0</v>
      </c>
      <c r="AN442" s="2">
        <f t="shared" si="56"/>
        <v>156125</v>
      </c>
    </row>
    <row r="443" spans="1:40" ht="31.5" customHeight="1" x14ac:dyDescent="0.25">
      <c r="A443" s="55">
        <v>749</v>
      </c>
      <c r="B443" s="11" t="s">
        <v>26</v>
      </c>
      <c r="C443" s="9" t="s">
        <v>314</v>
      </c>
      <c r="D443" s="6" t="s">
        <v>425</v>
      </c>
      <c r="E443" s="1" t="s">
        <v>426</v>
      </c>
      <c r="F443" s="1" t="s">
        <v>37</v>
      </c>
      <c r="G443" s="1"/>
      <c r="H443" s="4">
        <v>6069.12</v>
      </c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18"/>
      <c r="X443" s="4"/>
      <c r="Y443" s="4"/>
      <c r="Z443" s="4"/>
      <c r="AA443" s="4"/>
      <c r="AB443" s="4"/>
      <c r="AC443" s="4"/>
      <c r="AD443" s="4"/>
      <c r="AE443" s="4"/>
      <c r="AF443" s="4"/>
      <c r="AG443" s="4">
        <v>6069.12</v>
      </c>
      <c r="AH443" s="4"/>
      <c r="AI443" s="2">
        <f t="shared" si="51"/>
        <v>0</v>
      </c>
      <c r="AJ443" s="2">
        <f t="shared" si="52"/>
        <v>0</v>
      </c>
      <c r="AK443" s="2">
        <f t="shared" si="53"/>
        <v>0</v>
      </c>
      <c r="AL443" s="2">
        <f t="shared" si="54"/>
        <v>0</v>
      </c>
      <c r="AM443" s="2">
        <f t="shared" si="55"/>
        <v>0</v>
      </c>
      <c r="AN443" s="2">
        <f t="shared" si="56"/>
        <v>0</v>
      </c>
    </row>
    <row r="444" spans="1:40" ht="31.5" customHeight="1" x14ac:dyDescent="0.25">
      <c r="A444" s="55">
        <v>750</v>
      </c>
      <c r="B444" s="11" t="s">
        <v>26</v>
      </c>
      <c r="C444" s="9" t="s">
        <v>427</v>
      </c>
      <c r="D444" s="6" t="s">
        <v>425</v>
      </c>
      <c r="E444" s="1" t="s">
        <v>426</v>
      </c>
      <c r="F444" s="1" t="s">
        <v>37</v>
      </c>
      <c r="G444" s="1"/>
      <c r="H444" s="4">
        <v>6069.12</v>
      </c>
      <c r="I444" s="4"/>
      <c r="J444" s="4"/>
      <c r="K444" s="4"/>
      <c r="L444" s="4"/>
      <c r="M444" s="4"/>
      <c r="N444" s="4"/>
      <c r="O444" s="4"/>
      <c r="P444" s="4"/>
      <c r="Q444" s="4"/>
      <c r="R444" s="4">
        <v>6069.12</v>
      </c>
      <c r="S444" s="4"/>
      <c r="T444" s="4"/>
      <c r="U444" s="4"/>
      <c r="V444" s="4"/>
      <c r="W444" s="18"/>
      <c r="X444" s="4"/>
      <c r="Y444" s="4"/>
      <c r="Z444" s="4"/>
      <c r="AA444" s="4"/>
      <c r="AB444" s="4"/>
      <c r="AC444" s="4"/>
      <c r="AD444" s="4">
        <v>6069.12</v>
      </c>
      <c r="AE444" s="4"/>
      <c r="AF444" s="4"/>
      <c r="AG444" s="4"/>
      <c r="AH444" s="4"/>
      <c r="AI444" s="2">
        <f t="shared" si="51"/>
        <v>6069.12</v>
      </c>
      <c r="AJ444" s="2">
        <f t="shared" si="52"/>
        <v>6069.12</v>
      </c>
      <c r="AK444" s="2">
        <f t="shared" si="53"/>
        <v>6069.12</v>
      </c>
      <c r="AL444" s="2">
        <f t="shared" si="54"/>
        <v>0</v>
      </c>
      <c r="AM444" s="2">
        <f t="shared" si="55"/>
        <v>0</v>
      </c>
      <c r="AN444" s="2">
        <f t="shared" si="56"/>
        <v>0</v>
      </c>
    </row>
    <row r="445" spans="1:40" ht="31.5" customHeight="1" x14ac:dyDescent="0.25">
      <c r="A445" s="55">
        <v>741</v>
      </c>
      <c r="B445" s="11" t="s">
        <v>26</v>
      </c>
      <c r="C445" s="9" t="s">
        <v>42</v>
      </c>
      <c r="D445" s="6" t="s">
        <v>420</v>
      </c>
      <c r="E445" s="1" t="s">
        <v>421</v>
      </c>
      <c r="F445" s="1" t="s">
        <v>66</v>
      </c>
      <c r="G445" s="1"/>
      <c r="H445" s="4">
        <v>6432.63</v>
      </c>
      <c r="I445" s="4"/>
      <c r="J445" s="4"/>
      <c r="K445" s="4"/>
      <c r="L445" s="4"/>
      <c r="M445" s="4"/>
      <c r="N445" s="4"/>
      <c r="O445" s="4"/>
      <c r="P445" s="4"/>
      <c r="Q445" s="4"/>
      <c r="R445" s="4">
        <v>6432.63</v>
      </c>
      <c r="S445" s="4"/>
      <c r="T445" s="4"/>
      <c r="U445" s="4"/>
      <c r="V445" s="4"/>
      <c r="W445" s="18"/>
      <c r="X445" s="4"/>
      <c r="Y445" s="4"/>
      <c r="Z445" s="4"/>
      <c r="AA445" s="4"/>
      <c r="AB445" s="4"/>
      <c r="AC445" s="4"/>
      <c r="AD445" s="4">
        <v>6432.63</v>
      </c>
      <c r="AE445" s="4"/>
      <c r="AF445" s="4"/>
      <c r="AG445" s="4"/>
      <c r="AH445" s="4"/>
      <c r="AI445" s="2">
        <f t="shared" si="51"/>
        <v>6432.63</v>
      </c>
      <c r="AJ445" s="2">
        <f t="shared" si="52"/>
        <v>6432.63</v>
      </c>
      <c r="AK445" s="2">
        <f t="shared" si="53"/>
        <v>6432.63</v>
      </c>
      <c r="AL445" s="2">
        <f t="shared" si="54"/>
        <v>0</v>
      </c>
      <c r="AM445" s="2">
        <f t="shared" si="55"/>
        <v>0</v>
      </c>
      <c r="AN445" s="2">
        <f t="shared" si="56"/>
        <v>0</v>
      </c>
    </row>
    <row r="446" spans="1:40" ht="31.5" customHeight="1" x14ac:dyDescent="0.25">
      <c r="A446" s="55">
        <v>748</v>
      </c>
      <c r="B446" s="11" t="s">
        <v>26</v>
      </c>
      <c r="C446" s="9" t="s">
        <v>422</v>
      </c>
      <c r="D446" s="6" t="s">
        <v>423</v>
      </c>
      <c r="E446" s="1" t="s">
        <v>424</v>
      </c>
      <c r="F446" s="1" t="s">
        <v>37</v>
      </c>
      <c r="G446" s="1"/>
      <c r="H446" s="4">
        <v>156125</v>
      </c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18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2">
        <f t="shared" si="51"/>
        <v>156125</v>
      </c>
      <c r="AJ446" s="2">
        <f t="shared" si="52"/>
        <v>0</v>
      </c>
      <c r="AK446" s="2">
        <f t="shared" si="53"/>
        <v>0</v>
      </c>
      <c r="AL446" s="2">
        <f t="shared" si="54"/>
        <v>156125</v>
      </c>
      <c r="AM446" s="2">
        <f t="shared" si="55"/>
        <v>0</v>
      </c>
      <c r="AN446" s="2">
        <f t="shared" si="56"/>
        <v>156125</v>
      </c>
    </row>
    <row r="447" spans="1:40" ht="31.5" customHeight="1" x14ac:dyDescent="0.25">
      <c r="A447" s="55">
        <v>749</v>
      </c>
      <c r="B447" s="11" t="s">
        <v>26</v>
      </c>
      <c r="C447" s="9" t="s">
        <v>314</v>
      </c>
      <c r="D447" s="6" t="s">
        <v>425</v>
      </c>
      <c r="E447" s="1" t="s">
        <v>426</v>
      </c>
      <c r="F447" s="1" t="s">
        <v>37</v>
      </c>
      <c r="G447" s="1"/>
      <c r="H447" s="4">
        <v>6069.12</v>
      </c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18"/>
      <c r="X447" s="4"/>
      <c r="Y447" s="4"/>
      <c r="Z447" s="4"/>
      <c r="AA447" s="4"/>
      <c r="AB447" s="4"/>
      <c r="AC447" s="4"/>
      <c r="AD447" s="4"/>
      <c r="AE447" s="4"/>
      <c r="AF447" s="4"/>
      <c r="AG447" s="4">
        <v>6069.12</v>
      </c>
      <c r="AH447" s="4"/>
      <c r="AI447" s="2">
        <f t="shared" si="51"/>
        <v>0</v>
      </c>
      <c r="AJ447" s="2">
        <f t="shared" si="52"/>
        <v>0</v>
      </c>
      <c r="AK447" s="2">
        <f t="shared" si="53"/>
        <v>0</v>
      </c>
      <c r="AL447" s="2">
        <f t="shared" si="54"/>
        <v>0</v>
      </c>
      <c r="AM447" s="2">
        <f t="shared" si="55"/>
        <v>0</v>
      </c>
      <c r="AN447" s="2">
        <f t="shared" si="56"/>
        <v>0</v>
      </c>
    </row>
    <row r="448" spans="1:40" ht="31.5" customHeight="1" x14ac:dyDescent="0.25">
      <c r="A448" s="55">
        <v>750</v>
      </c>
      <c r="B448" s="11" t="s">
        <v>26</v>
      </c>
      <c r="C448" s="9" t="s">
        <v>427</v>
      </c>
      <c r="D448" s="6" t="s">
        <v>425</v>
      </c>
      <c r="E448" s="1" t="s">
        <v>426</v>
      </c>
      <c r="F448" s="1" t="s">
        <v>37</v>
      </c>
      <c r="G448" s="1"/>
      <c r="H448" s="4">
        <v>6069.12</v>
      </c>
      <c r="I448" s="4"/>
      <c r="J448" s="4"/>
      <c r="K448" s="4"/>
      <c r="L448" s="4"/>
      <c r="M448" s="4"/>
      <c r="N448" s="4"/>
      <c r="O448" s="4"/>
      <c r="P448" s="4"/>
      <c r="Q448" s="4"/>
      <c r="R448" s="4">
        <v>6069.12</v>
      </c>
      <c r="S448" s="4"/>
      <c r="T448" s="4"/>
      <c r="U448" s="4"/>
      <c r="V448" s="4"/>
      <c r="W448" s="18"/>
      <c r="X448" s="4"/>
      <c r="Y448" s="4"/>
      <c r="Z448" s="4"/>
      <c r="AA448" s="4"/>
      <c r="AB448" s="4"/>
      <c r="AC448" s="4"/>
      <c r="AD448" s="4">
        <v>6069.12</v>
      </c>
      <c r="AE448" s="4"/>
      <c r="AF448" s="4"/>
      <c r="AG448" s="16"/>
      <c r="AH448" s="4"/>
      <c r="AI448" s="2">
        <f t="shared" si="51"/>
        <v>6069.12</v>
      </c>
      <c r="AJ448" s="2">
        <f t="shared" si="52"/>
        <v>6069.12</v>
      </c>
      <c r="AK448" s="2">
        <f t="shared" si="53"/>
        <v>6069.12</v>
      </c>
      <c r="AL448" s="2">
        <f t="shared" si="54"/>
        <v>0</v>
      </c>
      <c r="AM448" s="2">
        <f t="shared" si="55"/>
        <v>0</v>
      </c>
      <c r="AN448" s="2">
        <f t="shared" si="56"/>
        <v>0</v>
      </c>
    </row>
    <row r="449" spans="1:40" ht="31.5" customHeight="1" x14ac:dyDescent="0.25">
      <c r="A449" s="55">
        <v>780</v>
      </c>
      <c r="B449" s="11" t="s">
        <v>56</v>
      </c>
      <c r="C449" s="9" t="s">
        <v>88</v>
      </c>
      <c r="D449" s="6" t="s">
        <v>428</v>
      </c>
      <c r="E449" s="1" t="s">
        <v>429</v>
      </c>
      <c r="F449" s="1" t="s">
        <v>36</v>
      </c>
      <c r="G449" s="1"/>
      <c r="H449" s="4">
        <v>20094</v>
      </c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18"/>
      <c r="X449" s="4"/>
      <c r="Y449" s="4"/>
      <c r="Z449" s="4"/>
      <c r="AA449" s="4"/>
      <c r="AB449" s="4"/>
      <c r="AC449" s="4"/>
      <c r="AD449" s="4"/>
      <c r="AE449" s="4"/>
      <c r="AF449" s="4"/>
      <c r="AG449" s="16"/>
      <c r="AH449" s="16"/>
      <c r="AI449" s="2">
        <f t="shared" si="51"/>
        <v>20094</v>
      </c>
      <c r="AJ449" s="2">
        <f t="shared" si="52"/>
        <v>0</v>
      </c>
      <c r="AK449" s="2">
        <f t="shared" si="53"/>
        <v>0</v>
      </c>
      <c r="AL449" s="2">
        <f t="shared" si="54"/>
        <v>20094</v>
      </c>
      <c r="AM449" s="2">
        <f t="shared" si="55"/>
        <v>0</v>
      </c>
      <c r="AN449" s="2">
        <f t="shared" si="56"/>
        <v>20094</v>
      </c>
    </row>
    <row r="450" spans="1:40" ht="31.5" customHeight="1" x14ac:dyDescent="0.25">
      <c r="A450" s="55">
        <v>783</v>
      </c>
      <c r="B450" s="11" t="s">
        <v>26</v>
      </c>
      <c r="C450" s="9" t="s">
        <v>209</v>
      </c>
      <c r="D450" s="6" t="s">
        <v>430</v>
      </c>
      <c r="E450" s="1" t="s">
        <v>434</v>
      </c>
      <c r="F450" s="1" t="s">
        <v>66</v>
      </c>
      <c r="G450" s="1"/>
      <c r="H450" s="4">
        <v>6335.89</v>
      </c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>
        <v>6335.89</v>
      </c>
      <c r="T450" s="4"/>
      <c r="U450" s="4"/>
      <c r="V450" s="4"/>
      <c r="W450" s="18"/>
      <c r="X450" s="4"/>
      <c r="Y450" s="4"/>
      <c r="Z450" s="4"/>
      <c r="AA450" s="4"/>
      <c r="AB450" s="4"/>
      <c r="AC450" s="4"/>
      <c r="AD450" s="4"/>
      <c r="AE450" s="4">
        <v>6335.89</v>
      </c>
      <c r="AF450" s="4"/>
      <c r="AG450" s="16"/>
      <c r="AH450" s="16"/>
      <c r="AI450" s="2">
        <f t="shared" si="51"/>
        <v>6335.89</v>
      </c>
      <c r="AJ450" s="2">
        <f t="shared" si="52"/>
        <v>6335.89</v>
      </c>
      <c r="AK450" s="2">
        <f t="shared" si="53"/>
        <v>6335.89</v>
      </c>
      <c r="AL450" s="2">
        <f t="shared" si="54"/>
        <v>0</v>
      </c>
      <c r="AM450" s="2">
        <f t="shared" si="55"/>
        <v>0</v>
      </c>
      <c r="AN450" s="2">
        <f t="shared" si="56"/>
        <v>0</v>
      </c>
    </row>
    <row r="451" spans="1:40" ht="31.5" customHeight="1" x14ac:dyDescent="0.25">
      <c r="A451" s="55">
        <v>784</v>
      </c>
      <c r="B451" s="11" t="s">
        <v>26</v>
      </c>
      <c r="C451" s="9" t="s">
        <v>209</v>
      </c>
      <c r="D451" s="6" t="s">
        <v>431</v>
      </c>
      <c r="E451" s="1" t="s">
        <v>435</v>
      </c>
      <c r="F451" s="1" t="s">
        <v>66</v>
      </c>
      <c r="G451" s="1"/>
      <c r="H451" s="4">
        <v>6335.89</v>
      </c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>
        <v>6335.89</v>
      </c>
      <c r="T451" s="4"/>
      <c r="U451" s="4"/>
      <c r="V451" s="4"/>
      <c r="W451" s="18"/>
      <c r="X451" s="4"/>
      <c r="Y451" s="4"/>
      <c r="Z451" s="4"/>
      <c r="AA451" s="4"/>
      <c r="AB451" s="4"/>
      <c r="AC451" s="4"/>
      <c r="AD451" s="4"/>
      <c r="AE451" s="4">
        <v>6335.89</v>
      </c>
      <c r="AF451" s="4"/>
      <c r="AG451" s="16"/>
      <c r="AH451" s="16"/>
      <c r="AI451" s="2">
        <f t="shared" si="51"/>
        <v>6335.89</v>
      </c>
      <c r="AJ451" s="2">
        <f t="shared" si="52"/>
        <v>6335.89</v>
      </c>
      <c r="AK451" s="2">
        <f t="shared" si="53"/>
        <v>6335.89</v>
      </c>
      <c r="AL451" s="2">
        <f t="shared" si="54"/>
        <v>0</v>
      </c>
      <c r="AM451" s="2">
        <f t="shared" si="55"/>
        <v>0</v>
      </c>
      <c r="AN451" s="2">
        <f t="shared" si="56"/>
        <v>0</v>
      </c>
    </row>
    <row r="452" spans="1:40" ht="31.5" customHeight="1" x14ac:dyDescent="0.25">
      <c r="A452" s="55">
        <v>785</v>
      </c>
      <c r="B452" s="11" t="s">
        <v>26</v>
      </c>
      <c r="C452" s="9" t="s">
        <v>209</v>
      </c>
      <c r="D452" s="6" t="s">
        <v>432</v>
      </c>
      <c r="E452" s="1" t="s">
        <v>436</v>
      </c>
      <c r="F452" s="1" t="s">
        <v>66</v>
      </c>
      <c r="G452" s="1"/>
      <c r="H452" s="4">
        <v>6337.79</v>
      </c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>
        <v>6337.79</v>
      </c>
      <c r="T452" s="4"/>
      <c r="U452" s="4"/>
      <c r="V452" s="4"/>
      <c r="W452" s="18"/>
      <c r="X452" s="4"/>
      <c r="Y452" s="4"/>
      <c r="Z452" s="4"/>
      <c r="AA452" s="4"/>
      <c r="AB452" s="4"/>
      <c r="AC452" s="4"/>
      <c r="AD452" s="4"/>
      <c r="AE452" s="4">
        <v>6337.79</v>
      </c>
      <c r="AF452" s="4"/>
      <c r="AG452" s="16"/>
      <c r="AH452" s="16"/>
      <c r="AI452" s="2">
        <f t="shared" si="51"/>
        <v>6337.79</v>
      </c>
      <c r="AJ452" s="2">
        <f t="shared" si="52"/>
        <v>6337.79</v>
      </c>
      <c r="AK452" s="2">
        <f t="shared" si="53"/>
        <v>6337.79</v>
      </c>
      <c r="AL452" s="2">
        <f t="shared" si="54"/>
        <v>0</v>
      </c>
      <c r="AM452" s="2">
        <f t="shared" si="55"/>
        <v>0</v>
      </c>
      <c r="AN452" s="2">
        <f t="shared" si="56"/>
        <v>0</v>
      </c>
    </row>
    <row r="453" spans="1:40" ht="31.5" customHeight="1" x14ac:dyDescent="0.25">
      <c r="A453" s="55">
        <v>788</v>
      </c>
      <c r="B453" s="11" t="s">
        <v>56</v>
      </c>
      <c r="C453" s="9" t="s">
        <v>168</v>
      </c>
      <c r="D453" s="6" t="s">
        <v>167</v>
      </c>
      <c r="E453" s="1" t="s">
        <v>99</v>
      </c>
      <c r="F453" s="1" t="s">
        <v>36</v>
      </c>
      <c r="G453" s="1"/>
      <c r="H453" s="4">
        <v>11120</v>
      </c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>
        <v>5559.09</v>
      </c>
      <c r="T453" s="4"/>
      <c r="U453" s="4"/>
      <c r="V453" s="4"/>
      <c r="W453" s="18"/>
      <c r="X453" s="4"/>
      <c r="Y453" s="4"/>
      <c r="Z453" s="4"/>
      <c r="AA453" s="4"/>
      <c r="AB453" s="4"/>
      <c r="AC453" s="4"/>
      <c r="AD453" s="4"/>
      <c r="AE453" s="4">
        <v>5559.09</v>
      </c>
      <c r="AF453" s="4"/>
      <c r="AG453" s="16"/>
      <c r="AH453" s="16"/>
      <c r="AI453" s="2">
        <f t="shared" si="51"/>
        <v>11120</v>
      </c>
      <c r="AJ453" s="2">
        <f t="shared" si="52"/>
        <v>5559.09</v>
      </c>
      <c r="AK453" s="2">
        <f t="shared" si="53"/>
        <v>5559.09</v>
      </c>
      <c r="AL453" s="2">
        <f t="shared" si="54"/>
        <v>5560.91</v>
      </c>
      <c r="AM453" s="2">
        <f t="shared" si="55"/>
        <v>0</v>
      </c>
      <c r="AN453" s="2">
        <f t="shared" si="56"/>
        <v>5560.91</v>
      </c>
    </row>
    <row r="454" spans="1:40" ht="31.5" customHeight="1" x14ac:dyDescent="0.25">
      <c r="A454" s="55">
        <v>796</v>
      </c>
      <c r="B454" s="11" t="s">
        <v>26</v>
      </c>
      <c r="C454" s="9" t="s">
        <v>438</v>
      </c>
      <c r="D454" s="6" t="s">
        <v>433</v>
      </c>
      <c r="E454" s="1" t="s">
        <v>437</v>
      </c>
      <c r="F454" s="1" t="s">
        <v>36</v>
      </c>
      <c r="G454" s="1"/>
      <c r="H454" s="4">
        <v>6040</v>
      </c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18"/>
      <c r="X454" s="4"/>
      <c r="Y454" s="4"/>
      <c r="Z454" s="4"/>
      <c r="AA454" s="4"/>
      <c r="AB454" s="4"/>
      <c r="AC454" s="4"/>
      <c r="AD454" s="4"/>
      <c r="AE454" s="4"/>
      <c r="AF454" s="4"/>
      <c r="AG454" s="16"/>
      <c r="AH454" s="16"/>
      <c r="AI454" s="2">
        <f t="shared" si="51"/>
        <v>6040</v>
      </c>
      <c r="AJ454" s="2">
        <f t="shared" si="52"/>
        <v>0</v>
      </c>
      <c r="AK454" s="2">
        <f t="shared" si="53"/>
        <v>0</v>
      </c>
      <c r="AL454" s="2">
        <f t="shared" si="54"/>
        <v>6040</v>
      </c>
      <c r="AM454" s="2">
        <f t="shared" si="55"/>
        <v>0</v>
      </c>
      <c r="AN454" s="2">
        <f t="shared" si="56"/>
        <v>6040</v>
      </c>
    </row>
    <row r="455" spans="1:40" ht="31.5" customHeight="1" x14ac:dyDescent="0.25">
      <c r="A455" s="55">
        <v>797</v>
      </c>
      <c r="B455" s="11" t="s">
        <v>26</v>
      </c>
      <c r="C455" s="9" t="s">
        <v>439</v>
      </c>
      <c r="D455" s="6" t="s">
        <v>433</v>
      </c>
      <c r="E455" s="1" t="s">
        <v>437</v>
      </c>
      <c r="F455" s="1" t="s">
        <v>36</v>
      </c>
      <c r="G455" s="1"/>
      <c r="H455" s="4">
        <v>450</v>
      </c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18"/>
      <c r="X455" s="4"/>
      <c r="Y455" s="4"/>
      <c r="Z455" s="4"/>
      <c r="AA455" s="4"/>
      <c r="AB455" s="4"/>
      <c r="AC455" s="4"/>
      <c r="AD455" s="4"/>
      <c r="AE455" s="4"/>
      <c r="AF455" s="4"/>
      <c r="AG455" s="16"/>
      <c r="AH455" s="16"/>
      <c r="AI455" s="2">
        <f t="shared" si="51"/>
        <v>450</v>
      </c>
      <c r="AJ455" s="2">
        <f t="shared" si="52"/>
        <v>0</v>
      </c>
      <c r="AK455" s="2">
        <f t="shared" si="53"/>
        <v>0</v>
      </c>
      <c r="AL455" s="2">
        <f t="shared" si="54"/>
        <v>450</v>
      </c>
      <c r="AM455" s="2">
        <f t="shared" si="55"/>
        <v>0</v>
      </c>
      <c r="AN455" s="2">
        <f t="shared" si="56"/>
        <v>450</v>
      </c>
    </row>
    <row r="456" spans="1:40" ht="31.5" customHeight="1" x14ac:dyDescent="0.25">
      <c r="A456" s="55">
        <v>798</v>
      </c>
      <c r="B456" s="11" t="s">
        <v>26</v>
      </c>
      <c r="C456" s="9" t="s">
        <v>440</v>
      </c>
      <c r="D456" s="6" t="s">
        <v>433</v>
      </c>
      <c r="E456" s="1" t="s">
        <v>437</v>
      </c>
      <c r="F456" s="1" t="s">
        <v>36</v>
      </c>
      <c r="G456" s="1"/>
      <c r="H456" s="4">
        <v>200</v>
      </c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18"/>
      <c r="X456" s="4"/>
      <c r="Y456" s="4"/>
      <c r="Z456" s="4"/>
      <c r="AA456" s="4"/>
      <c r="AB456" s="4"/>
      <c r="AC456" s="4"/>
      <c r="AD456" s="4"/>
      <c r="AE456" s="4"/>
      <c r="AF456" s="4"/>
      <c r="AG456" s="16"/>
      <c r="AH456" s="16"/>
      <c r="AI456" s="2">
        <f t="shared" ref="AI456:AI519" si="57">H456-AG456+AH456</f>
        <v>200</v>
      </c>
      <c r="AJ456" s="2">
        <f t="shared" ref="AJ456:AJ519" si="58">SUM(I456:T456)</f>
        <v>0</v>
      </c>
      <c r="AK456" s="2">
        <f t="shared" ref="AK456:AK519" si="59">SUM(U456:AF456)</f>
        <v>0</v>
      </c>
      <c r="AL456" s="2">
        <f t="shared" si="54"/>
        <v>200</v>
      </c>
      <c r="AM456" s="2">
        <f t="shared" si="55"/>
        <v>0</v>
      </c>
      <c r="AN456" s="2">
        <f t="shared" si="56"/>
        <v>200</v>
      </c>
    </row>
    <row r="457" spans="1:40" ht="31.5" customHeight="1" x14ac:dyDescent="0.25">
      <c r="A457" s="55">
        <v>799</v>
      </c>
      <c r="B457" s="11" t="s">
        <v>26</v>
      </c>
      <c r="C457" s="9" t="s">
        <v>441</v>
      </c>
      <c r="D457" s="6" t="s">
        <v>433</v>
      </c>
      <c r="E457" s="1" t="s">
        <v>437</v>
      </c>
      <c r="F457" s="1" t="s">
        <v>36</v>
      </c>
      <c r="G457" s="1"/>
      <c r="H457" s="4">
        <v>360</v>
      </c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18"/>
      <c r="X457" s="4"/>
      <c r="Y457" s="4"/>
      <c r="Z457" s="4"/>
      <c r="AA457" s="4"/>
      <c r="AB457" s="4"/>
      <c r="AC457" s="4"/>
      <c r="AD457" s="4"/>
      <c r="AE457" s="4"/>
      <c r="AF457" s="4"/>
      <c r="AG457" s="16"/>
      <c r="AH457" s="16"/>
      <c r="AI457" s="2">
        <f t="shared" si="57"/>
        <v>360</v>
      </c>
      <c r="AJ457" s="2">
        <f t="shared" si="58"/>
        <v>0</v>
      </c>
      <c r="AK457" s="2">
        <f t="shared" si="59"/>
        <v>0</v>
      </c>
      <c r="AL457" s="2">
        <f t="shared" si="54"/>
        <v>360</v>
      </c>
      <c r="AM457" s="2">
        <f t="shared" si="55"/>
        <v>0</v>
      </c>
      <c r="AN457" s="2">
        <f t="shared" si="56"/>
        <v>360</v>
      </c>
    </row>
    <row r="458" spans="1:40" ht="31.5" customHeight="1" x14ac:dyDescent="0.25">
      <c r="A458" s="55">
        <v>800</v>
      </c>
      <c r="B458" s="11" t="s">
        <v>26</v>
      </c>
      <c r="C458" s="9" t="s">
        <v>442</v>
      </c>
      <c r="D458" s="6" t="s">
        <v>433</v>
      </c>
      <c r="E458" s="1" t="s">
        <v>437</v>
      </c>
      <c r="F458" s="1" t="s">
        <v>36</v>
      </c>
      <c r="G458" s="1"/>
      <c r="H458" s="4">
        <v>50</v>
      </c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18"/>
      <c r="X458" s="4"/>
      <c r="Y458" s="4"/>
      <c r="Z458" s="4"/>
      <c r="AA458" s="4"/>
      <c r="AB458" s="4"/>
      <c r="AC458" s="4"/>
      <c r="AD458" s="4"/>
      <c r="AE458" s="4"/>
      <c r="AF458" s="4"/>
      <c r="AG458" s="16"/>
      <c r="AH458" s="16"/>
      <c r="AI458" s="2">
        <f t="shared" si="57"/>
        <v>50</v>
      </c>
      <c r="AJ458" s="2">
        <f t="shared" si="58"/>
        <v>0</v>
      </c>
      <c r="AK458" s="2">
        <f t="shared" si="59"/>
        <v>0</v>
      </c>
      <c r="AL458" s="2">
        <f t="shared" si="54"/>
        <v>50</v>
      </c>
      <c r="AM458" s="2">
        <f t="shared" si="55"/>
        <v>0</v>
      </c>
      <c r="AN458" s="2">
        <f t="shared" si="56"/>
        <v>50</v>
      </c>
    </row>
    <row r="459" spans="1:40" ht="31.5" customHeight="1" x14ac:dyDescent="0.25">
      <c r="A459" s="55"/>
      <c r="B459" s="11"/>
      <c r="C459" s="9"/>
      <c r="D459" s="6"/>
      <c r="E459" s="1"/>
      <c r="F459" s="1"/>
      <c r="G459" s="1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18"/>
      <c r="X459" s="4"/>
      <c r="Y459" s="4"/>
      <c r="Z459" s="4"/>
      <c r="AA459" s="4"/>
      <c r="AB459" s="4"/>
      <c r="AC459" s="4"/>
      <c r="AD459" s="4"/>
      <c r="AE459" s="4"/>
      <c r="AF459" s="4"/>
      <c r="AG459" s="16"/>
      <c r="AH459" s="16"/>
      <c r="AI459" s="2">
        <f t="shared" si="57"/>
        <v>0</v>
      </c>
      <c r="AJ459" s="2">
        <f t="shared" si="58"/>
        <v>0</v>
      </c>
      <c r="AK459" s="2">
        <f t="shared" si="59"/>
        <v>0</v>
      </c>
      <c r="AL459" s="2">
        <f t="shared" si="54"/>
        <v>0</v>
      </c>
      <c r="AM459" s="2">
        <f t="shared" si="55"/>
        <v>0</v>
      </c>
      <c r="AN459" s="2">
        <f t="shared" si="56"/>
        <v>0</v>
      </c>
    </row>
    <row r="460" spans="1:40" ht="31.5" customHeight="1" x14ac:dyDescent="0.25">
      <c r="A460" s="55"/>
      <c r="B460" s="11"/>
      <c r="C460" s="9"/>
      <c r="D460" s="6"/>
      <c r="E460" s="1"/>
      <c r="F460" s="1"/>
      <c r="G460" s="1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18"/>
      <c r="X460" s="4"/>
      <c r="Y460" s="4"/>
      <c r="Z460" s="4"/>
      <c r="AA460" s="4"/>
      <c r="AB460" s="4"/>
      <c r="AC460" s="4"/>
      <c r="AD460" s="4"/>
      <c r="AE460" s="4"/>
      <c r="AF460" s="4"/>
      <c r="AG460" s="16"/>
      <c r="AH460" s="16"/>
      <c r="AI460" s="2">
        <f t="shared" si="57"/>
        <v>0</v>
      </c>
      <c r="AJ460" s="2">
        <f t="shared" si="58"/>
        <v>0</v>
      </c>
      <c r="AK460" s="2">
        <f t="shared" si="59"/>
        <v>0</v>
      </c>
      <c r="AL460" s="2">
        <f t="shared" si="54"/>
        <v>0</v>
      </c>
      <c r="AM460" s="2">
        <f t="shared" si="55"/>
        <v>0</v>
      </c>
      <c r="AN460" s="2">
        <f t="shared" si="56"/>
        <v>0</v>
      </c>
    </row>
    <row r="461" spans="1:40" ht="31.5" customHeight="1" x14ac:dyDescent="0.25">
      <c r="A461" s="55"/>
      <c r="B461" s="11"/>
      <c r="C461" s="9"/>
      <c r="D461" s="6"/>
      <c r="E461" s="1"/>
      <c r="F461" s="1"/>
      <c r="G461" s="1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18"/>
      <c r="X461" s="4"/>
      <c r="Y461" s="4"/>
      <c r="Z461" s="4"/>
      <c r="AA461" s="4"/>
      <c r="AB461" s="4"/>
      <c r="AC461" s="4"/>
      <c r="AD461" s="4"/>
      <c r="AE461" s="4"/>
      <c r="AF461" s="4"/>
      <c r="AG461" s="16"/>
      <c r="AH461" s="16"/>
      <c r="AI461" s="2">
        <f t="shared" si="57"/>
        <v>0</v>
      </c>
      <c r="AJ461" s="2">
        <f t="shared" si="58"/>
        <v>0</v>
      </c>
      <c r="AK461" s="2">
        <f t="shared" si="59"/>
        <v>0</v>
      </c>
      <c r="AL461" s="2">
        <f t="shared" si="54"/>
        <v>0</v>
      </c>
      <c r="AM461" s="2">
        <f t="shared" si="55"/>
        <v>0</v>
      </c>
      <c r="AN461" s="2">
        <f t="shared" si="56"/>
        <v>0</v>
      </c>
    </row>
    <row r="462" spans="1:40" ht="31.5" customHeight="1" x14ac:dyDescent="0.25">
      <c r="A462" s="55"/>
      <c r="B462" s="11"/>
      <c r="C462" s="9"/>
      <c r="D462" s="6"/>
      <c r="E462" s="1"/>
      <c r="F462" s="1"/>
      <c r="G462" s="1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18"/>
      <c r="X462" s="4"/>
      <c r="Y462" s="4"/>
      <c r="Z462" s="4"/>
      <c r="AA462" s="4"/>
      <c r="AB462" s="4"/>
      <c r="AC462" s="4"/>
      <c r="AD462" s="4"/>
      <c r="AE462" s="4"/>
      <c r="AF462" s="4"/>
      <c r="AG462" s="16"/>
      <c r="AH462" s="16"/>
      <c r="AI462" s="2">
        <f t="shared" si="57"/>
        <v>0</v>
      </c>
      <c r="AJ462" s="2">
        <f t="shared" si="58"/>
        <v>0</v>
      </c>
      <c r="AK462" s="2">
        <f t="shared" si="59"/>
        <v>0</v>
      </c>
      <c r="AL462" s="2">
        <f t="shared" si="54"/>
        <v>0</v>
      </c>
      <c r="AM462" s="2">
        <f t="shared" si="55"/>
        <v>0</v>
      </c>
      <c r="AN462" s="2">
        <f t="shared" si="56"/>
        <v>0</v>
      </c>
    </row>
    <row r="463" spans="1:40" x14ac:dyDescent="0.25">
      <c r="A463" s="62"/>
      <c r="B463" s="11"/>
      <c r="C463" s="9"/>
      <c r="D463" s="6"/>
      <c r="E463" s="1"/>
      <c r="F463" s="1"/>
      <c r="G463" s="1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18"/>
      <c r="X463" s="4"/>
      <c r="Y463" s="4"/>
      <c r="Z463" s="4"/>
      <c r="AA463" s="4"/>
      <c r="AB463" s="4"/>
      <c r="AC463" s="4"/>
      <c r="AD463" s="4"/>
      <c r="AE463" s="4"/>
      <c r="AF463" s="4"/>
      <c r="AG463" s="16"/>
      <c r="AH463" s="16"/>
      <c r="AI463" s="2">
        <f t="shared" si="57"/>
        <v>0</v>
      </c>
      <c r="AJ463" s="2">
        <f t="shared" si="58"/>
        <v>0</v>
      </c>
      <c r="AK463" s="2">
        <f t="shared" si="59"/>
        <v>0</v>
      </c>
      <c r="AL463" s="2">
        <f t="shared" si="54"/>
        <v>0</v>
      </c>
      <c r="AM463" s="2">
        <f t="shared" si="55"/>
        <v>0</v>
      </c>
      <c r="AN463" s="2">
        <f t="shared" si="56"/>
        <v>0</v>
      </c>
    </row>
    <row r="464" spans="1:40" x14ac:dyDescent="0.25">
      <c r="A464" s="62"/>
      <c r="B464" s="11"/>
      <c r="C464"/>
      <c r="D464" s="6"/>
      <c r="E464" s="1"/>
      <c r="F464" s="1"/>
      <c r="G464" s="1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18"/>
      <c r="X464" s="4"/>
      <c r="Y464" s="4"/>
      <c r="Z464" s="4"/>
      <c r="AA464" s="4"/>
      <c r="AB464" s="4"/>
      <c r="AC464" s="4"/>
      <c r="AD464" s="4"/>
      <c r="AE464" s="4"/>
      <c r="AF464" s="4"/>
      <c r="AG464" s="16"/>
      <c r="AH464" s="16"/>
      <c r="AI464" s="2">
        <f t="shared" si="57"/>
        <v>0</v>
      </c>
      <c r="AJ464" s="2">
        <f t="shared" si="58"/>
        <v>0</v>
      </c>
      <c r="AK464" s="2">
        <f t="shared" si="59"/>
        <v>0</v>
      </c>
      <c r="AL464" s="2">
        <f t="shared" si="54"/>
        <v>0</v>
      </c>
      <c r="AM464" s="2">
        <f t="shared" si="55"/>
        <v>0</v>
      </c>
      <c r="AN464" s="2">
        <f t="shared" si="56"/>
        <v>0</v>
      </c>
    </row>
    <row r="465" spans="1:40" x14ac:dyDescent="0.25">
      <c r="A465" s="62"/>
      <c r="B465" s="27"/>
      <c r="C465" s="9"/>
      <c r="D465" s="6"/>
      <c r="E465" s="1"/>
      <c r="F465" s="1"/>
      <c r="G465" s="1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18"/>
      <c r="X465" s="4"/>
      <c r="Y465" s="4"/>
      <c r="Z465" s="4"/>
      <c r="AA465" s="4"/>
      <c r="AB465" s="4"/>
      <c r="AC465" s="4"/>
      <c r="AD465" s="4"/>
      <c r="AE465" s="4"/>
      <c r="AF465" s="4"/>
      <c r="AG465" s="16"/>
      <c r="AH465" s="16"/>
      <c r="AI465" s="2">
        <f t="shared" si="57"/>
        <v>0</v>
      </c>
      <c r="AJ465" s="2">
        <f t="shared" si="58"/>
        <v>0</v>
      </c>
      <c r="AK465" s="2">
        <f t="shared" si="59"/>
        <v>0</v>
      </c>
      <c r="AL465" s="2">
        <f t="shared" si="54"/>
        <v>0</v>
      </c>
      <c r="AM465" s="2">
        <f t="shared" si="55"/>
        <v>0</v>
      </c>
      <c r="AN465" s="2">
        <f t="shared" si="56"/>
        <v>0</v>
      </c>
    </row>
    <row r="466" spans="1:40" x14ac:dyDescent="0.25">
      <c r="A466" s="62"/>
      <c r="B466" s="27"/>
      <c r="C466" s="9"/>
      <c r="D466" s="6"/>
      <c r="E466" s="1"/>
      <c r="F466" s="1"/>
      <c r="G466" s="1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18"/>
      <c r="X466" s="4"/>
      <c r="Y466" s="4"/>
      <c r="Z466" s="4"/>
      <c r="AA466" s="4"/>
      <c r="AB466" s="4"/>
      <c r="AC466" s="4"/>
      <c r="AD466" s="4"/>
      <c r="AE466" s="4"/>
      <c r="AF466" s="4"/>
      <c r="AG466" s="16"/>
      <c r="AH466" s="16"/>
      <c r="AI466" s="2">
        <f t="shared" si="57"/>
        <v>0</v>
      </c>
      <c r="AJ466" s="2">
        <f t="shared" si="58"/>
        <v>0</v>
      </c>
      <c r="AK466" s="2">
        <f t="shared" si="59"/>
        <v>0</v>
      </c>
      <c r="AL466" s="2">
        <f t="shared" si="54"/>
        <v>0</v>
      </c>
      <c r="AM466" s="2">
        <f t="shared" si="55"/>
        <v>0</v>
      </c>
      <c r="AN466" s="2">
        <f t="shared" si="56"/>
        <v>0</v>
      </c>
    </row>
    <row r="467" spans="1:40" x14ac:dyDescent="0.25">
      <c r="A467" s="62"/>
      <c r="B467" s="27"/>
      <c r="C467" s="9"/>
      <c r="D467" s="6"/>
      <c r="E467" s="1"/>
      <c r="F467" s="1"/>
      <c r="G467" s="1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18"/>
      <c r="X467" s="4"/>
      <c r="Y467" s="4"/>
      <c r="Z467" s="4"/>
      <c r="AA467" s="4"/>
      <c r="AB467" s="4"/>
      <c r="AC467" s="4"/>
      <c r="AD467" s="4"/>
      <c r="AE467" s="4"/>
      <c r="AF467" s="4"/>
      <c r="AG467" s="16"/>
      <c r="AH467" s="16"/>
      <c r="AI467" s="2">
        <f t="shared" si="57"/>
        <v>0</v>
      </c>
      <c r="AJ467" s="2">
        <f t="shared" si="58"/>
        <v>0</v>
      </c>
      <c r="AK467" s="2">
        <f t="shared" si="59"/>
        <v>0</v>
      </c>
      <c r="AL467" s="2">
        <f t="shared" si="54"/>
        <v>0</v>
      </c>
      <c r="AM467" s="2">
        <f t="shared" si="55"/>
        <v>0</v>
      </c>
      <c r="AN467" s="2">
        <f t="shared" si="56"/>
        <v>0</v>
      </c>
    </row>
    <row r="468" spans="1:40" x14ac:dyDescent="0.25">
      <c r="A468" s="62"/>
      <c r="B468" s="27"/>
      <c r="C468" s="9"/>
      <c r="D468" s="6"/>
      <c r="E468" s="1"/>
      <c r="F468" s="1"/>
      <c r="G468" s="1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18"/>
      <c r="X468" s="4"/>
      <c r="Y468" s="4"/>
      <c r="Z468" s="4"/>
      <c r="AA468" s="4"/>
      <c r="AB468" s="4"/>
      <c r="AC468" s="4"/>
      <c r="AD468" s="4"/>
      <c r="AE468" s="4"/>
      <c r="AF468" s="4"/>
      <c r="AG468" s="16"/>
      <c r="AH468" s="16"/>
      <c r="AI468" s="2">
        <f t="shared" si="57"/>
        <v>0</v>
      </c>
      <c r="AJ468" s="2">
        <f t="shared" si="58"/>
        <v>0</v>
      </c>
      <c r="AK468" s="2">
        <f t="shared" si="59"/>
        <v>0</v>
      </c>
      <c r="AL468" s="2">
        <f t="shared" si="54"/>
        <v>0</v>
      </c>
      <c r="AM468" s="2">
        <f t="shared" si="55"/>
        <v>0</v>
      </c>
      <c r="AN468" s="2">
        <f t="shared" si="56"/>
        <v>0</v>
      </c>
    </row>
    <row r="469" spans="1:40" x14ac:dyDescent="0.25">
      <c r="A469" s="62"/>
      <c r="B469" s="27"/>
      <c r="C469" s="9"/>
      <c r="D469" s="6"/>
      <c r="E469" s="1"/>
      <c r="F469" s="1"/>
      <c r="G469" s="1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18"/>
      <c r="X469" s="4"/>
      <c r="Y469" s="4"/>
      <c r="Z469" s="4"/>
      <c r="AA469" s="4"/>
      <c r="AB469" s="4"/>
      <c r="AC469" s="4"/>
      <c r="AD469" s="4"/>
      <c r="AE469" s="4"/>
      <c r="AF469" s="4"/>
      <c r="AG469" s="16"/>
      <c r="AH469" s="16"/>
      <c r="AI469" s="2">
        <f t="shared" si="57"/>
        <v>0</v>
      </c>
      <c r="AJ469" s="2">
        <f t="shared" si="58"/>
        <v>0</v>
      </c>
      <c r="AK469" s="2">
        <f t="shared" si="59"/>
        <v>0</v>
      </c>
      <c r="AL469" s="2">
        <f t="shared" si="54"/>
        <v>0</v>
      </c>
      <c r="AM469" s="2">
        <f t="shared" si="55"/>
        <v>0</v>
      </c>
      <c r="AN469" s="2">
        <f t="shared" si="56"/>
        <v>0</v>
      </c>
    </row>
    <row r="470" spans="1:40" x14ac:dyDescent="0.25">
      <c r="A470" s="56"/>
      <c r="B470" s="27"/>
      <c r="C470" s="9"/>
      <c r="D470" s="6"/>
      <c r="E470" s="1"/>
      <c r="F470" s="1"/>
      <c r="G470" s="1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18"/>
      <c r="X470" s="4"/>
      <c r="Y470" s="4"/>
      <c r="Z470" s="4"/>
      <c r="AA470" s="4"/>
      <c r="AB470" s="4"/>
      <c r="AC470" s="4"/>
      <c r="AD470" s="4"/>
      <c r="AE470" s="4"/>
      <c r="AF470" s="4"/>
      <c r="AG470" s="16"/>
      <c r="AH470" s="16"/>
      <c r="AI470" s="2">
        <f t="shared" si="57"/>
        <v>0</v>
      </c>
      <c r="AJ470" s="2">
        <f t="shared" si="58"/>
        <v>0</v>
      </c>
      <c r="AK470" s="2">
        <f t="shared" si="59"/>
        <v>0</v>
      </c>
      <c r="AL470" s="2">
        <f t="shared" si="54"/>
        <v>0</v>
      </c>
      <c r="AM470" s="2">
        <f t="shared" si="55"/>
        <v>0</v>
      </c>
      <c r="AN470" s="2">
        <f t="shared" si="56"/>
        <v>0</v>
      </c>
    </row>
    <row r="471" spans="1:40" x14ac:dyDescent="0.25">
      <c r="A471" s="56"/>
      <c r="B471" s="27"/>
      <c r="C471" s="9"/>
      <c r="D471" s="6"/>
      <c r="E471" s="1"/>
      <c r="F471" s="1"/>
      <c r="G471" s="1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18"/>
      <c r="X471" s="4"/>
      <c r="Y471" s="4"/>
      <c r="Z471" s="4"/>
      <c r="AA471" s="4"/>
      <c r="AB471" s="4"/>
      <c r="AC471" s="4"/>
      <c r="AD471" s="4"/>
      <c r="AE471" s="4"/>
      <c r="AF471" s="4"/>
      <c r="AG471" s="16"/>
      <c r="AH471" s="16"/>
      <c r="AI471" s="2">
        <f t="shared" si="57"/>
        <v>0</v>
      </c>
      <c r="AJ471" s="2">
        <f t="shared" si="58"/>
        <v>0</v>
      </c>
      <c r="AK471" s="2">
        <f t="shared" si="59"/>
        <v>0</v>
      </c>
      <c r="AL471" s="2">
        <f t="shared" si="54"/>
        <v>0</v>
      </c>
      <c r="AM471" s="2">
        <f t="shared" si="55"/>
        <v>0</v>
      </c>
      <c r="AN471" s="2">
        <f t="shared" si="56"/>
        <v>0</v>
      </c>
    </row>
    <row r="472" spans="1:40" x14ac:dyDescent="0.25">
      <c r="A472" s="56"/>
      <c r="B472" s="27"/>
      <c r="C472" s="9"/>
      <c r="D472" s="6"/>
      <c r="E472" s="1"/>
      <c r="F472" s="1"/>
      <c r="G472" s="1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18"/>
      <c r="X472" s="4"/>
      <c r="Y472" s="4"/>
      <c r="Z472" s="4"/>
      <c r="AA472" s="4"/>
      <c r="AB472" s="4"/>
      <c r="AC472" s="4"/>
      <c r="AD472" s="4"/>
      <c r="AE472" s="4"/>
      <c r="AF472" s="4"/>
      <c r="AG472" s="16"/>
      <c r="AH472" s="16"/>
      <c r="AI472" s="2">
        <f t="shared" si="57"/>
        <v>0</v>
      </c>
      <c r="AJ472" s="2">
        <f t="shared" si="58"/>
        <v>0</v>
      </c>
      <c r="AK472" s="2">
        <f t="shared" si="59"/>
        <v>0</v>
      </c>
      <c r="AL472" s="2">
        <f t="shared" si="54"/>
        <v>0</v>
      </c>
      <c r="AM472" s="2">
        <f t="shared" si="55"/>
        <v>0</v>
      </c>
      <c r="AN472" s="2">
        <f t="shared" si="56"/>
        <v>0</v>
      </c>
    </row>
    <row r="473" spans="1:40" x14ac:dyDescent="0.25">
      <c r="A473" s="56"/>
      <c r="B473" s="27"/>
      <c r="C473" s="9"/>
      <c r="D473" s="6"/>
      <c r="E473" s="1"/>
      <c r="F473" s="1"/>
      <c r="G473" s="1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18"/>
      <c r="X473" s="4"/>
      <c r="Y473" s="4"/>
      <c r="Z473" s="4"/>
      <c r="AA473" s="4"/>
      <c r="AB473" s="4"/>
      <c r="AC473" s="4"/>
      <c r="AD473" s="4"/>
      <c r="AE473" s="4"/>
      <c r="AF473" s="4"/>
      <c r="AG473" s="16"/>
      <c r="AH473" s="16"/>
      <c r="AI473" s="2">
        <f t="shared" si="57"/>
        <v>0</v>
      </c>
      <c r="AJ473" s="2">
        <f t="shared" si="58"/>
        <v>0</v>
      </c>
      <c r="AK473" s="2">
        <f t="shared" si="59"/>
        <v>0</v>
      </c>
      <c r="AL473" s="2">
        <f t="shared" si="54"/>
        <v>0</v>
      </c>
      <c r="AM473" s="2">
        <f t="shared" si="55"/>
        <v>0</v>
      </c>
      <c r="AN473" s="2">
        <f t="shared" si="56"/>
        <v>0</v>
      </c>
    </row>
    <row r="474" spans="1:40" x14ac:dyDescent="0.25">
      <c r="A474" s="56"/>
      <c r="B474" s="27"/>
      <c r="C474" s="9"/>
      <c r="D474" s="6"/>
      <c r="E474" s="1"/>
      <c r="F474" s="1"/>
      <c r="G474" s="1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18"/>
      <c r="X474" s="4"/>
      <c r="Y474" s="4"/>
      <c r="Z474" s="4"/>
      <c r="AA474" s="4"/>
      <c r="AB474" s="4"/>
      <c r="AC474" s="4"/>
      <c r="AD474" s="4"/>
      <c r="AE474" s="4"/>
      <c r="AF474" s="4"/>
      <c r="AG474" s="16"/>
      <c r="AH474" s="16"/>
      <c r="AI474" s="2">
        <f t="shared" si="57"/>
        <v>0</v>
      </c>
      <c r="AJ474" s="2">
        <f t="shared" si="58"/>
        <v>0</v>
      </c>
      <c r="AK474" s="2">
        <f t="shared" si="59"/>
        <v>0</v>
      </c>
      <c r="AL474" s="2">
        <f t="shared" si="54"/>
        <v>0</v>
      </c>
      <c r="AM474" s="2">
        <f t="shared" si="55"/>
        <v>0</v>
      </c>
      <c r="AN474" s="2">
        <f t="shared" si="56"/>
        <v>0</v>
      </c>
    </row>
    <row r="475" spans="1:40" x14ac:dyDescent="0.25">
      <c r="A475" s="56"/>
      <c r="B475" s="27"/>
      <c r="C475" s="9"/>
      <c r="D475" s="6"/>
      <c r="E475" s="1"/>
      <c r="F475" s="1"/>
      <c r="G475" s="1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18"/>
      <c r="X475" s="4"/>
      <c r="Y475" s="4"/>
      <c r="Z475" s="4"/>
      <c r="AA475" s="4"/>
      <c r="AB475" s="4"/>
      <c r="AC475" s="4"/>
      <c r="AD475" s="4"/>
      <c r="AE475" s="4"/>
      <c r="AF475" s="4"/>
      <c r="AG475" s="16"/>
      <c r="AH475" s="16"/>
      <c r="AI475" s="2">
        <f t="shared" si="57"/>
        <v>0</v>
      </c>
      <c r="AJ475" s="2">
        <f t="shared" si="58"/>
        <v>0</v>
      </c>
      <c r="AK475" s="2">
        <f t="shared" si="59"/>
        <v>0</v>
      </c>
      <c r="AL475" s="2">
        <f t="shared" si="54"/>
        <v>0</v>
      </c>
      <c r="AM475" s="2">
        <f t="shared" si="55"/>
        <v>0</v>
      </c>
      <c r="AN475" s="2">
        <f t="shared" si="56"/>
        <v>0</v>
      </c>
    </row>
    <row r="476" spans="1:40" x14ac:dyDescent="0.25">
      <c r="A476" s="56"/>
      <c r="B476" s="27"/>
      <c r="C476" s="9"/>
      <c r="D476" s="6"/>
      <c r="E476" s="1"/>
      <c r="F476" s="1"/>
      <c r="G476" s="1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16"/>
      <c r="AH476" s="16"/>
      <c r="AI476" s="2">
        <f t="shared" si="57"/>
        <v>0</v>
      </c>
      <c r="AJ476" s="2">
        <f t="shared" si="58"/>
        <v>0</v>
      </c>
      <c r="AK476" s="2">
        <f t="shared" si="59"/>
        <v>0</v>
      </c>
      <c r="AL476" s="2">
        <f t="shared" si="54"/>
        <v>0</v>
      </c>
      <c r="AM476" s="2">
        <f t="shared" si="55"/>
        <v>0</v>
      </c>
      <c r="AN476" s="2">
        <f t="shared" si="56"/>
        <v>0</v>
      </c>
    </row>
    <row r="477" spans="1:40" x14ac:dyDescent="0.25">
      <c r="A477" s="56"/>
      <c r="B477" s="27"/>
      <c r="C477" s="9"/>
      <c r="D477" s="6"/>
      <c r="E477" s="1"/>
      <c r="F477" s="1"/>
      <c r="G477" s="1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16"/>
      <c r="AH477" s="16"/>
      <c r="AI477" s="2">
        <f t="shared" si="57"/>
        <v>0</v>
      </c>
      <c r="AJ477" s="2">
        <f t="shared" si="58"/>
        <v>0</v>
      </c>
      <c r="AK477" s="2">
        <f t="shared" si="59"/>
        <v>0</v>
      </c>
      <c r="AL477" s="2">
        <f t="shared" si="54"/>
        <v>0</v>
      </c>
      <c r="AM477" s="2">
        <f t="shared" si="55"/>
        <v>0</v>
      </c>
      <c r="AN477" s="2">
        <f t="shared" si="56"/>
        <v>0</v>
      </c>
    </row>
    <row r="478" spans="1:40" x14ac:dyDescent="0.25">
      <c r="A478" s="56"/>
      <c r="B478" s="27"/>
      <c r="C478" s="9"/>
      <c r="D478" s="6"/>
      <c r="E478" s="1"/>
      <c r="F478" s="1"/>
      <c r="G478" s="1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16"/>
      <c r="AH478" s="16"/>
      <c r="AI478" s="2">
        <f t="shared" si="57"/>
        <v>0</v>
      </c>
      <c r="AJ478" s="2">
        <f t="shared" si="58"/>
        <v>0</v>
      </c>
      <c r="AK478" s="2">
        <f t="shared" si="59"/>
        <v>0</v>
      </c>
      <c r="AL478" s="2">
        <f t="shared" si="54"/>
        <v>0</v>
      </c>
      <c r="AM478" s="2">
        <f t="shared" si="55"/>
        <v>0</v>
      </c>
      <c r="AN478" s="2">
        <f t="shared" si="56"/>
        <v>0</v>
      </c>
    </row>
    <row r="479" spans="1:40" x14ac:dyDescent="0.25">
      <c r="A479" s="56"/>
      <c r="B479" s="27"/>
      <c r="C479" s="9"/>
      <c r="D479" s="6"/>
      <c r="E479" s="1"/>
      <c r="F479" s="1"/>
      <c r="G479" s="1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16"/>
      <c r="AH479" s="16"/>
      <c r="AI479" s="2">
        <f t="shared" si="57"/>
        <v>0</v>
      </c>
      <c r="AJ479" s="2">
        <f t="shared" si="58"/>
        <v>0</v>
      </c>
      <c r="AK479" s="2">
        <f t="shared" si="59"/>
        <v>0</v>
      </c>
      <c r="AL479" s="2">
        <f t="shared" si="54"/>
        <v>0</v>
      </c>
      <c r="AM479" s="2">
        <f t="shared" si="55"/>
        <v>0</v>
      </c>
      <c r="AN479" s="2">
        <f t="shared" si="56"/>
        <v>0</v>
      </c>
    </row>
    <row r="480" spans="1:40" x14ac:dyDescent="0.25">
      <c r="A480" s="56"/>
      <c r="B480" s="27"/>
      <c r="C480" s="9"/>
      <c r="D480" s="6"/>
      <c r="E480" s="1"/>
      <c r="F480" s="1"/>
      <c r="G480" s="1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16"/>
      <c r="AH480" s="16"/>
      <c r="AI480" s="2">
        <f t="shared" si="57"/>
        <v>0</v>
      </c>
      <c r="AJ480" s="2">
        <f t="shared" si="58"/>
        <v>0</v>
      </c>
      <c r="AK480" s="2">
        <f t="shared" si="59"/>
        <v>0</v>
      </c>
      <c r="AL480" s="2">
        <f t="shared" si="54"/>
        <v>0</v>
      </c>
      <c r="AM480" s="2">
        <f t="shared" si="55"/>
        <v>0</v>
      </c>
      <c r="AN480" s="2">
        <f t="shared" si="56"/>
        <v>0</v>
      </c>
    </row>
    <row r="481" spans="1:40" x14ac:dyDescent="0.25">
      <c r="A481" s="56"/>
      <c r="B481" s="27"/>
      <c r="C481" s="9"/>
      <c r="D481" s="6"/>
      <c r="E481" s="1"/>
      <c r="F481" s="1"/>
      <c r="G481" s="1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16"/>
      <c r="AH481" s="16"/>
      <c r="AI481" s="2">
        <f t="shared" si="57"/>
        <v>0</v>
      </c>
      <c r="AJ481" s="2">
        <f t="shared" si="58"/>
        <v>0</v>
      </c>
      <c r="AK481" s="2">
        <f t="shared" si="59"/>
        <v>0</v>
      </c>
      <c r="AL481" s="2">
        <f t="shared" si="54"/>
        <v>0</v>
      </c>
      <c r="AM481" s="2">
        <f t="shared" si="55"/>
        <v>0</v>
      </c>
      <c r="AN481" s="2">
        <f t="shared" si="56"/>
        <v>0</v>
      </c>
    </row>
    <row r="482" spans="1:40" x14ac:dyDescent="0.25">
      <c r="A482" s="56"/>
      <c r="B482" s="27"/>
      <c r="C482" s="9"/>
      <c r="D482" s="6"/>
      <c r="E482" s="1"/>
      <c r="F482" s="1"/>
      <c r="G482" s="1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16"/>
      <c r="AH482" s="16"/>
      <c r="AI482" s="2">
        <f t="shared" si="57"/>
        <v>0</v>
      </c>
      <c r="AJ482" s="2">
        <f t="shared" si="58"/>
        <v>0</v>
      </c>
      <c r="AK482" s="2">
        <f t="shared" si="59"/>
        <v>0</v>
      </c>
      <c r="AL482" s="2">
        <f t="shared" si="54"/>
        <v>0</v>
      </c>
      <c r="AM482" s="2">
        <f t="shared" si="55"/>
        <v>0</v>
      </c>
      <c r="AN482" s="2">
        <f t="shared" si="56"/>
        <v>0</v>
      </c>
    </row>
    <row r="483" spans="1:40" x14ac:dyDescent="0.25">
      <c r="A483" s="56"/>
      <c r="B483" s="27"/>
      <c r="C483" s="9"/>
      <c r="D483" s="6"/>
      <c r="E483" s="1"/>
      <c r="F483" s="1"/>
      <c r="G483" s="1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16"/>
      <c r="AH483" s="16"/>
      <c r="AI483" s="2">
        <f t="shared" si="57"/>
        <v>0</v>
      </c>
      <c r="AJ483" s="2">
        <f t="shared" si="58"/>
        <v>0</v>
      </c>
      <c r="AK483" s="2">
        <f t="shared" si="59"/>
        <v>0</v>
      </c>
      <c r="AL483" s="2">
        <f t="shared" si="54"/>
        <v>0</v>
      </c>
      <c r="AM483" s="2">
        <f t="shared" si="55"/>
        <v>0</v>
      </c>
      <c r="AN483" s="2">
        <f t="shared" si="56"/>
        <v>0</v>
      </c>
    </row>
    <row r="484" spans="1:40" x14ac:dyDescent="0.25">
      <c r="A484" s="56"/>
      <c r="B484" s="27"/>
      <c r="C484" s="9"/>
      <c r="D484" s="6"/>
      <c r="E484" s="1"/>
      <c r="F484" s="1"/>
      <c r="G484" s="1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16"/>
      <c r="AH484" s="16"/>
      <c r="AI484" s="2">
        <f t="shared" si="57"/>
        <v>0</v>
      </c>
      <c r="AJ484" s="2">
        <f t="shared" si="58"/>
        <v>0</v>
      </c>
      <c r="AK484" s="2">
        <f t="shared" si="59"/>
        <v>0</v>
      </c>
      <c r="AL484" s="2">
        <f t="shared" si="54"/>
        <v>0</v>
      </c>
      <c r="AM484" s="2">
        <f t="shared" si="55"/>
        <v>0</v>
      </c>
      <c r="AN484" s="2">
        <f t="shared" si="56"/>
        <v>0</v>
      </c>
    </row>
    <row r="485" spans="1:40" x14ac:dyDescent="0.25">
      <c r="A485" s="56"/>
      <c r="B485" s="27"/>
      <c r="C485" s="9"/>
      <c r="D485" s="6"/>
      <c r="E485" s="1"/>
      <c r="F485" s="1"/>
      <c r="G485" s="1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16"/>
      <c r="AH485" s="16"/>
      <c r="AI485" s="2">
        <f t="shared" si="57"/>
        <v>0</v>
      </c>
      <c r="AJ485" s="2">
        <f t="shared" si="58"/>
        <v>0</v>
      </c>
      <c r="AK485" s="2">
        <f t="shared" si="59"/>
        <v>0</v>
      </c>
      <c r="AL485" s="2">
        <f t="shared" si="54"/>
        <v>0</v>
      </c>
      <c r="AM485" s="2">
        <f t="shared" si="55"/>
        <v>0</v>
      </c>
      <c r="AN485" s="2">
        <f t="shared" si="56"/>
        <v>0</v>
      </c>
    </row>
    <row r="486" spans="1:40" x14ac:dyDescent="0.25">
      <c r="A486" s="56"/>
      <c r="B486" s="27"/>
      <c r="C486" s="9"/>
      <c r="D486" s="6"/>
      <c r="E486" s="1"/>
      <c r="F486" s="1"/>
      <c r="G486" s="1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16"/>
      <c r="AH486" s="16"/>
      <c r="AI486" s="2">
        <f t="shared" si="57"/>
        <v>0</v>
      </c>
      <c r="AJ486" s="2">
        <f t="shared" si="58"/>
        <v>0</v>
      </c>
      <c r="AK486" s="2">
        <f t="shared" si="59"/>
        <v>0</v>
      </c>
      <c r="AL486" s="2">
        <f t="shared" si="54"/>
        <v>0</v>
      </c>
      <c r="AM486" s="2">
        <f t="shared" si="55"/>
        <v>0</v>
      </c>
      <c r="AN486" s="2">
        <f t="shared" si="56"/>
        <v>0</v>
      </c>
    </row>
    <row r="487" spans="1:40" x14ac:dyDescent="0.25">
      <c r="A487" s="56"/>
      <c r="B487" s="27"/>
      <c r="C487" s="9"/>
      <c r="D487" s="6"/>
      <c r="E487" s="1"/>
      <c r="F487" s="1"/>
      <c r="G487" s="1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16"/>
      <c r="AH487" s="16"/>
      <c r="AI487" s="2">
        <f t="shared" si="57"/>
        <v>0</v>
      </c>
      <c r="AJ487" s="2">
        <f t="shared" si="58"/>
        <v>0</v>
      </c>
      <c r="AK487" s="2">
        <f t="shared" si="59"/>
        <v>0</v>
      </c>
      <c r="AL487" s="2">
        <f t="shared" si="54"/>
        <v>0</v>
      </c>
      <c r="AM487" s="2">
        <f t="shared" si="55"/>
        <v>0</v>
      </c>
      <c r="AN487" s="2">
        <f t="shared" si="56"/>
        <v>0</v>
      </c>
    </row>
    <row r="488" spans="1:40" x14ac:dyDescent="0.25">
      <c r="A488" s="56"/>
      <c r="B488" s="27"/>
      <c r="C488" s="9"/>
      <c r="D488" s="6"/>
      <c r="E488" s="1"/>
      <c r="F488" s="1"/>
      <c r="G488" s="1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16"/>
      <c r="AH488" s="16"/>
      <c r="AI488" s="2">
        <f t="shared" si="57"/>
        <v>0</v>
      </c>
      <c r="AJ488" s="2">
        <f t="shared" si="58"/>
        <v>0</v>
      </c>
      <c r="AK488" s="2">
        <f t="shared" si="59"/>
        <v>0</v>
      </c>
      <c r="AL488" s="2">
        <f t="shared" si="54"/>
        <v>0</v>
      </c>
      <c r="AM488" s="2">
        <f t="shared" si="55"/>
        <v>0</v>
      </c>
      <c r="AN488" s="2">
        <f t="shared" si="56"/>
        <v>0</v>
      </c>
    </row>
    <row r="489" spans="1:40" x14ac:dyDescent="0.25">
      <c r="A489" s="56"/>
      <c r="B489" s="27"/>
      <c r="C489" s="9"/>
      <c r="D489" s="6"/>
      <c r="E489" s="1"/>
      <c r="F489" s="1"/>
      <c r="G489" s="1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16"/>
      <c r="AH489" s="16"/>
      <c r="AI489" s="2">
        <f t="shared" si="57"/>
        <v>0</v>
      </c>
      <c r="AJ489" s="2">
        <f t="shared" si="58"/>
        <v>0</v>
      </c>
      <c r="AK489" s="2">
        <f t="shared" si="59"/>
        <v>0</v>
      </c>
      <c r="AL489" s="2">
        <f t="shared" si="54"/>
        <v>0</v>
      </c>
      <c r="AM489" s="2">
        <f t="shared" si="55"/>
        <v>0</v>
      </c>
      <c r="AN489" s="2">
        <f t="shared" si="56"/>
        <v>0</v>
      </c>
    </row>
    <row r="490" spans="1:40" x14ac:dyDescent="0.25">
      <c r="A490" s="56"/>
      <c r="B490" s="27"/>
      <c r="C490" s="9"/>
      <c r="D490" s="6"/>
      <c r="E490" s="1"/>
      <c r="F490" s="1"/>
      <c r="G490" s="1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16"/>
      <c r="AH490" s="16"/>
      <c r="AI490" s="2">
        <f t="shared" si="57"/>
        <v>0</v>
      </c>
      <c r="AJ490" s="2">
        <f t="shared" si="58"/>
        <v>0</v>
      </c>
      <c r="AK490" s="2">
        <f t="shared" si="59"/>
        <v>0</v>
      </c>
      <c r="AL490" s="2">
        <f t="shared" si="54"/>
        <v>0</v>
      </c>
      <c r="AM490" s="2">
        <f t="shared" si="55"/>
        <v>0</v>
      </c>
      <c r="AN490" s="2">
        <f t="shared" si="56"/>
        <v>0</v>
      </c>
    </row>
    <row r="491" spans="1:40" x14ac:dyDescent="0.25">
      <c r="A491" s="56"/>
      <c r="B491" s="27"/>
      <c r="C491" s="9"/>
      <c r="D491" s="6"/>
      <c r="E491" s="1"/>
      <c r="F491" s="1"/>
      <c r="G491" s="1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16"/>
      <c r="AH491" s="16"/>
      <c r="AI491" s="2">
        <f t="shared" si="57"/>
        <v>0</v>
      </c>
      <c r="AJ491" s="2">
        <f t="shared" si="58"/>
        <v>0</v>
      </c>
      <c r="AK491" s="2">
        <f t="shared" si="59"/>
        <v>0</v>
      </c>
      <c r="AL491" s="2">
        <f t="shared" si="54"/>
        <v>0</v>
      </c>
      <c r="AM491" s="2">
        <f t="shared" si="55"/>
        <v>0</v>
      </c>
      <c r="AN491" s="2">
        <f t="shared" si="56"/>
        <v>0</v>
      </c>
    </row>
    <row r="492" spans="1:40" x14ac:dyDescent="0.25">
      <c r="A492" s="56"/>
      <c r="B492" s="27"/>
      <c r="C492" s="9"/>
      <c r="D492" s="6"/>
      <c r="E492" s="1"/>
      <c r="F492" s="1"/>
      <c r="G492" s="1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16"/>
      <c r="AH492" s="16"/>
      <c r="AI492" s="2">
        <f t="shared" si="57"/>
        <v>0</v>
      </c>
      <c r="AJ492" s="2">
        <f t="shared" si="58"/>
        <v>0</v>
      </c>
      <c r="AK492" s="2">
        <f t="shared" si="59"/>
        <v>0</v>
      </c>
      <c r="AL492" s="2">
        <f t="shared" si="54"/>
        <v>0</v>
      </c>
      <c r="AM492" s="2">
        <f t="shared" si="55"/>
        <v>0</v>
      </c>
      <c r="AN492" s="2">
        <f t="shared" si="56"/>
        <v>0</v>
      </c>
    </row>
    <row r="493" spans="1:40" x14ac:dyDescent="0.25">
      <c r="A493" s="56"/>
      <c r="B493" s="27"/>
      <c r="C493" s="9"/>
      <c r="D493" s="6"/>
      <c r="E493" s="1"/>
      <c r="F493" s="1"/>
      <c r="G493" s="1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16"/>
      <c r="AH493" s="16"/>
      <c r="AI493" s="2">
        <f t="shared" si="57"/>
        <v>0</v>
      </c>
      <c r="AJ493" s="2">
        <f t="shared" si="58"/>
        <v>0</v>
      </c>
      <c r="AK493" s="2">
        <f t="shared" si="59"/>
        <v>0</v>
      </c>
      <c r="AL493" s="2">
        <f t="shared" si="54"/>
        <v>0</v>
      </c>
      <c r="AM493" s="2">
        <f t="shared" si="55"/>
        <v>0</v>
      </c>
      <c r="AN493" s="2">
        <f t="shared" si="56"/>
        <v>0</v>
      </c>
    </row>
    <row r="494" spans="1:40" x14ac:dyDescent="0.25">
      <c r="A494" s="56"/>
      <c r="B494" s="27"/>
      <c r="C494" s="9"/>
      <c r="D494" s="6"/>
      <c r="E494" s="1"/>
      <c r="F494" s="1"/>
      <c r="G494" s="1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16"/>
      <c r="AH494" s="16"/>
      <c r="AI494" s="2">
        <f t="shared" si="57"/>
        <v>0</v>
      </c>
      <c r="AJ494" s="2">
        <f t="shared" si="58"/>
        <v>0</v>
      </c>
      <c r="AK494" s="2">
        <f t="shared" si="59"/>
        <v>0</v>
      </c>
      <c r="AL494" s="2">
        <f t="shared" si="54"/>
        <v>0</v>
      </c>
      <c r="AM494" s="2">
        <f t="shared" si="55"/>
        <v>0</v>
      </c>
      <c r="AN494" s="2">
        <f t="shared" si="56"/>
        <v>0</v>
      </c>
    </row>
    <row r="495" spans="1:40" x14ac:dyDescent="0.25">
      <c r="A495" s="56"/>
      <c r="B495" s="27"/>
      <c r="C495" s="9"/>
      <c r="D495" s="6"/>
      <c r="E495" s="1"/>
      <c r="F495" s="1"/>
      <c r="G495" s="1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16"/>
      <c r="AH495" s="16"/>
      <c r="AI495" s="2">
        <f t="shared" si="57"/>
        <v>0</v>
      </c>
      <c r="AJ495" s="2">
        <f t="shared" si="58"/>
        <v>0</v>
      </c>
      <c r="AK495" s="2">
        <f t="shared" si="59"/>
        <v>0</v>
      </c>
      <c r="AL495" s="2">
        <f t="shared" si="54"/>
        <v>0</v>
      </c>
      <c r="AM495" s="2">
        <f t="shared" si="55"/>
        <v>0</v>
      </c>
      <c r="AN495" s="2">
        <f t="shared" si="56"/>
        <v>0</v>
      </c>
    </row>
    <row r="496" spans="1:40" x14ac:dyDescent="0.25">
      <c r="A496" s="56"/>
      <c r="B496" s="27"/>
      <c r="C496" s="9"/>
      <c r="D496" s="6"/>
      <c r="E496" s="1"/>
      <c r="F496" s="1"/>
      <c r="G496" s="1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16"/>
      <c r="AH496" s="16"/>
      <c r="AI496" s="2">
        <f t="shared" si="57"/>
        <v>0</v>
      </c>
      <c r="AJ496" s="2">
        <f t="shared" si="58"/>
        <v>0</v>
      </c>
      <c r="AK496" s="2">
        <f t="shared" si="59"/>
        <v>0</v>
      </c>
      <c r="AL496" s="2">
        <f t="shared" si="54"/>
        <v>0</v>
      </c>
      <c r="AM496" s="2">
        <f t="shared" si="55"/>
        <v>0</v>
      </c>
      <c r="AN496" s="2">
        <f t="shared" si="56"/>
        <v>0</v>
      </c>
    </row>
    <row r="497" spans="1:40" x14ac:dyDescent="0.25">
      <c r="A497" s="56"/>
      <c r="B497" s="27"/>
      <c r="C497" s="9"/>
      <c r="D497" s="6"/>
      <c r="E497" s="1"/>
      <c r="F497" s="1"/>
      <c r="G497" s="1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16"/>
      <c r="AH497" s="16"/>
      <c r="AI497" s="2">
        <f t="shared" si="57"/>
        <v>0</v>
      </c>
      <c r="AJ497" s="2">
        <f t="shared" si="58"/>
        <v>0</v>
      </c>
      <c r="AK497" s="2">
        <f t="shared" si="59"/>
        <v>0</v>
      </c>
      <c r="AL497" s="2">
        <f t="shared" si="54"/>
        <v>0</v>
      </c>
      <c r="AM497" s="2">
        <f t="shared" si="55"/>
        <v>0</v>
      </c>
      <c r="AN497" s="2">
        <f t="shared" si="56"/>
        <v>0</v>
      </c>
    </row>
    <row r="498" spans="1:40" x14ac:dyDescent="0.25">
      <c r="A498" s="56"/>
      <c r="B498" s="27"/>
      <c r="C498" s="9"/>
      <c r="D498" s="6"/>
      <c r="E498" s="1"/>
      <c r="F498" s="1"/>
      <c r="G498" s="1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16"/>
      <c r="AH498" s="16"/>
      <c r="AI498" s="2">
        <f t="shared" si="57"/>
        <v>0</v>
      </c>
      <c r="AJ498" s="2">
        <f t="shared" si="58"/>
        <v>0</v>
      </c>
      <c r="AK498" s="2">
        <f t="shared" si="59"/>
        <v>0</v>
      </c>
      <c r="AL498" s="2">
        <f t="shared" ref="AL498:AL561" si="60">SUM(AJ498-AK498)+(AI498-AJ498)</f>
        <v>0</v>
      </c>
      <c r="AM498" s="2">
        <f t="shared" ref="AM498:AM561" si="61">SUM(AJ498-AK498)</f>
        <v>0</v>
      </c>
      <c r="AN498" s="2">
        <f t="shared" ref="AN498:AN561" si="62">SUM(AI498-AJ498)</f>
        <v>0</v>
      </c>
    </row>
    <row r="499" spans="1:40" x14ac:dyDescent="0.25">
      <c r="A499" s="56"/>
      <c r="B499" s="27"/>
      <c r="C499" s="9"/>
      <c r="D499" s="6"/>
      <c r="E499" s="1"/>
      <c r="F499" s="1"/>
      <c r="G499" s="1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16"/>
      <c r="AH499" s="16"/>
      <c r="AI499" s="2">
        <f t="shared" si="57"/>
        <v>0</v>
      </c>
      <c r="AJ499" s="2">
        <f t="shared" si="58"/>
        <v>0</v>
      </c>
      <c r="AK499" s="2">
        <f t="shared" si="59"/>
        <v>0</v>
      </c>
      <c r="AL499" s="2">
        <f t="shared" si="60"/>
        <v>0</v>
      </c>
      <c r="AM499" s="2">
        <f t="shared" si="61"/>
        <v>0</v>
      </c>
      <c r="AN499" s="2">
        <f t="shared" si="62"/>
        <v>0</v>
      </c>
    </row>
    <row r="500" spans="1:40" x14ac:dyDescent="0.25">
      <c r="A500" s="56"/>
      <c r="B500" s="27"/>
      <c r="C500" s="9"/>
      <c r="D500" s="6"/>
      <c r="E500" s="1"/>
      <c r="F500" s="1"/>
      <c r="G500" s="1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16"/>
      <c r="AH500" s="16"/>
      <c r="AI500" s="2">
        <f t="shared" si="57"/>
        <v>0</v>
      </c>
      <c r="AJ500" s="2">
        <f t="shared" si="58"/>
        <v>0</v>
      </c>
      <c r="AK500" s="2">
        <f t="shared" si="59"/>
        <v>0</v>
      </c>
      <c r="AL500" s="2">
        <f t="shared" si="60"/>
        <v>0</v>
      </c>
      <c r="AM500" s="2">
        <f t="shared" si="61"/>
        <v>0</v>
      </c>
      <c r="AN500" s="2">
        <f t="shared" si="62"/>
        <v>0</v>
      </c>
    </row>
    <row r="501" spans="1:40" x14ac:dyDescent="0.25">
      <c r="A501" s="56"/>
      <c r="B501" s="27"/>
      <c r="C501" s="9"/>
      <c r="D501" s="6"/>
      <c r="E501" s="1"/>
      <c r="F501" s="1"/>
      <c r="G501" s="1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16"/>
      <c r="AH501" s="16"/>
      <c r="AI501" s="2">
        <f t="shared" si="57"/>
        <v>0</v>
      </c>
      <c r="AJ501" s="2">
        <f t="shared" si="58"/>
        <v>0</v>
      </c>
      <c r="AK501" s="2">
        <f t="shared" si="59"/>
        <v>0</v>
      </c>
      <c r="AL501" s="2">
        <f t="shared" si="60"/>
        <v>0</v>
      </c>
      <c r="AM501" s="2">
        <f t="shared" si="61"/>
        <v>0</v>
      </c>
      <c r="AN501" s="2">
        <f t="shared" si="62"/>
        <v>0</v>
      </c>
    </row>
    <row r="502" spans="1:40" x14ac:dyDescent="0.25">
      <c r="A502" s="56"/>
      <c r="B502" s="27"/>
      <c r="C502" s="9"/>
      <c r="D502" s="6"/>
      <c r="E502" s="1"/>
      <c r="F502" s="1"/>
      <c r="G502" s="1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16"/>
      <c r="AH502" s="16"/>
      <c r="AI502" s="2">
        <f t="shared" si="57"/>
        <v>0</v>
      </c>
      <c r="AJ502" s="2">
        <f t="shared" si="58"/>
        <v>0</v>
      </c>
      <c r="AK502" s="2">
        <f t="shared" si="59"/>
        <v>0</v>
      </c>
      <c r="AL502" s="2">
        <f t="shared" si="60"/>
        <v>0</v>
      </c>
      <c r="AM502" s="2">
        <f t="shared" si="61"/>
        <v>0</v>
      </c>
      <c r="AN502" s="2">
        <f t="shared" si="62"/>
        <v>0</v>
      </c>
    </row>
    <row r="503" spans="1:40" x14ac:dyDescent="0.25">
      <c r="A503" s="56"/>
      <c r="B503" s="27"/>
      <c r="C503" s="9"/>
      <c r="D503" s="6"/>
      <c r="E503" s="1"/>
      <c r="F503" s="1"/>
      <c r="G503" s="1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16"/>
      <c r="AH503" s="16"/>
      <c r="AI503" s="2">
        <f t="shared" si="57"/>
        <v>0</v>
      </c>
      <c r="AJ503" s="2">
        <f t="shared" si="58"/>
        <v>0</v>
      </c>
      <c r="AK503" s="2">
        <f t="shared" si="59"/>
        <v>0</v>
      </c>
      <c r="AL503" s="2">
        <f t="shared" si="60"/>
        <v>0</v>
      </c>
      <c r="AM503" s="2">
        <f t="shared" si="61"/>
        <v>0</v>
      </c>
      <c r="AN503" s="2">
        <f t="shared" si="62"/>
        <v>0</v>
      </c>
    </row>
    <row r="504" spans="1:40" x14ac:dyDescent="0.25">
      <c r="A504" s="56"/>
      <c r="B504" s="27"/>
      <c r="C504" s="9"/>
      <c r="D504" s="6"/>
      <c r="E504" s="1"/>
      <c r="F504" s="1"/>
      <c r="G504" s="1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16"/>
      <c r="AH504" s="16"/>
      <c r="AI504" s="2">
        <f t="shared" si="57"/>
        <v>0</v>
      </c>
      <c r="AJ504" s="2">
        <f t="shared" si="58"/>
        <v>0</v>
      </c>
      <c r="AK504" s="2">
        <f t="shared" si="59"/>
        <v>0</v>
      </c>
      <c r="AL504" s="2">
        <f t="shared" si="60"/>
        <v>0</v>
      </c>
      <c r="AM504" s="2">
        <f t="shared" si="61"/>
        <v>0</v>
      </c>
      <c r="AN504" s="2">
        <f t="shared" si="62"/>
        <v>0</v>
      </c>
    </row>
    <row r="505" spans="1:40" x14ac:dyDescent="0.25">
      <c r="A505" s="56"/>
      <c r="B505" s="27"/>
      <c r="C505" s="9"/>
      <c r="D505" s="6"/>
      <c r="E505" s="1"/>
      <c r="F505" s="1"/>
      <c r="G505" s="1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16"/>
      <c r="AH505" s="16"/>
      <c r="AI505" s="2">
        <f t="shared" si="57"/>
        <v>0</v>
      </c>
      <c r="AJ505" s="2">
        <f t="shared" si="58"/>
        <v>0</v>
      </c>
      <c r="AK505" s="2">
        <f t="shared" si="59"/>
        <v>0</v>
      </c>
      <c r="AL505" s="2">
        <f t="shared" si="60"/>
        <v>0</v>
      </c>
      <c r="AM505" s="2">
        <f t="shared" si="61"/>
        <v>0</v>
      </c>
      <c r="AN505" s="2">
        <f t="shared" si="62"/>
        <v>0</v>
      </c>
    </row>
    <row r="506" spans="1:40" x14ac:dyDescent="0.25">
      <c r="A506" s="56"/>
      <c r="B506" s="27"/>
      <c r="C506" s="9"/>
      <c r="D506" s="6"/>
      <c r="E506" s="1"/>
      <c r="F506" s="1"/>
      <c r="G506" s="1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2">
        <f t="shared" si="57"/>
        <v>0</v>
      </c>
      <c r="AJ506" s="2">
        <f t="shared" si="58"/>
        <v>0</v>
      </c>
      <c r="AK506" s="2">
        <f t="shared" si="59"/>
        <v>0</v>
      </c>
      <c r="AL506" s="2">
        <f t="shared" si="60"/>
        <v>0</v>
      </c>
      <c r="AM506" s="2">
        <f t="shared" si="61"/>
        <v>0</v>
      </c>
      <c r="AN506" s="2">
        <f t="shared" si="62"/>
        <v>0</v>
      </c>
    </row>
    <row r="507" spans="1:40" x14ac:dyDescent="0.25">
      <c r="A507" s="56"/>
      <c r="B507" s="27"/>
      <c r="C507" s="9"/>
      <c r="D507" s="6"/>
      <c r="E507" s="1"/>
      <c r="F507" s="1"/>
      <c r="G507" s="1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2">
        <f t="shared" si="57"/>
        <v>0</v>
      </c>
      <c r="AJ507" s="2">
        <f t="shared" si="58"/>
        <v>0</v>
      </c>
      <c r="AK507" s="2">
        <f t="shared" si="59"/>
        <v>0</v>
      </c>
      <c r="AL507" s="2">
        <f t="shared" si="60"/>
        <v>0</v>
      </c>
      <c r="AM507" s="2">
        <f t="shared" si="61"/>
        <v>0</v>
      </c>
      <c r="AN507" s="2">
        <f t="shared" si="62"/>
        <v>0</v>
      </c>
    </row>
    <row r="508" spans="1:40" x14ac:dyDescent="0.25">
      <c r="A508" s="56"/>
      <c r="B508" s="27"/>
      <c r="C508" s="9"/>
      <c r="D508" s="6"/>
      <c r="E508" s="1"/>
      <c r="F508" s="1"/>
      <c r="G508" s="1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2">
        <f t="shared" si="57"/>
        <v>0</v>
      </c>
      <c r="AJ508" s="2">
        <f t="shared" si="58"/>
        <v>0</v>
      </c>
      <c r="AK508" s="2">
        <f t="shared" si="59"/>
        <v>0</v>
      </c>
      <c r="AL508" s="2">
        <f t="shared" si="60"/>
        <v>0</v>
      </c>
      <c r="AM508" s="2">
        <f t="shared" si="61"/>
        <v>0</v>
      </c>
      <c r="AN508" s="2">
        <f t="shared" si="62"/>
        <v>0</v>
      </c>
    </row>
    <row r="509" spans="1:40" x14ac:dyDescent="0.25">
      <c r="A509" s="56"/>
      <c r="B509" s="27"/>
      <c r="C509" s="9"/>
      <c r="D509" s="6"/>
      <c r="E509" s="1"/>
      <c r="F509" s="1"/>
      <c r="G509" s="1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2">
        <f t="shared" si="57"/>
        <v>0</v>
      </c>
      <c r="AJ509" s="2">
        <f t="shared" si="58"/>
        <v>0</v>
      </c>
      <c r="AK509" s="2">
        <f t="shared" si="59"/>
        <v>0</v>
      </c>
      <c r="AL509" s="2">
        <f t="shared" si="60"/>
        <v>0</v>
      </c>
      <c r="AM509" s="2">
        <f t="shared" si="61"/>
        <v>0</v>
      </c>
      <c r="AN509" s="2">
        <f t="shared" si="62"/>
        <v>0</v>
      </c>
    </row>
    <row r="510" spans="1:40" x14ac:dyDescent="0.25">
      <c r="A510" s="56"/>
      <c r="B510" s="27"/>
      <c r="C510" s="9"/>
      <c r="D510" s="6"/>
      <c r="E510" s="1"/>
      <c r="F510" s="1"/>
      <c r="G510" s="1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2">
        <f t="shared" si="57"/>
        <v>0</v>
      </c>
      <c r="AJ510" s="2">
        <f t="shared" si="58"/>
        <v>0</v>
      </c>
      <c r="AK510" s="2">
        <f t="shared" si="59"/>
        <v>0</v>
      </c>
      <c r="AL510" s="2">
        <f t="shared" si="60"/>
        <v>0</v>
      </c>
      <c r="AM510" s="2">
        <f t="shared" si="61"/>
        <v>0</v>
      </c>
      <c r="AN510" s="2">
        <f t="shared" si="62"/>
        <v>0</v>
      </c>
    </row>
    <row r="511" spans="1:40" x14ac:dyDescent="0.25">
      <c r="A511" s="56"/>
      <c r="B511" s="27"/>
      <c r="C511" s="9"/>
      <c r="D511" s="6"/>
      <c r="E511" s="1"/>
      <c r="F511" s="1"/>
      <c r="G511" s="1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2">
        <f t="shared" si="57"/>
        <v>0</v>
      </c>
      <c r="AJ511" s="2">
        <f t="shared" si="58"/>
        <v>0</v>
      </c>
      <c r="AK511" s="2">
        <f t="shared" si="59"/>
        <v>0</v>
      </c>
      <c r="AL511" s="2">
        <f t="shared" si="60"/>
        <v>0</v>
      </c>
      <c r="AM511" s="2">
        <f t="shared" si="61"/>
        <v>0</v>
      </c>
      <c r="AN511" s="2">
        <f t="shared" si="62"/>
        <v>0</v>
      </c>
    </row>
    <row r="512" spans="1:40" x14ac:dyDescent="0.25">
      <c r="A512" s="56"/>
      <c r="B512" s="27"/>
      <c r="C512" s="9"/>
      <c r="D512" s="6"/>
      <c r="E512" s="1"/>
      <c r="F512" s="1"/>
      <c r="G512" s="1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2">
        <f t="shared" si="57"/>
        <v>0</v>
      </c>
      <c r="AJ512" s="2">
        <f t="shared" si="58"/>
        <v>0</v>
      </c>
      <c r="AK512" s="2">
        <f t="shared" si="59"/>
        <v>0</v>
      </c>
      <c r="AL512" s="2">
        <f t="shared" si="60"/>
        <v>0</v>
      </c>
      <c r="AM512" s="2">
        <f t="shared" si="61"/>
        <v>0</v>
      </c>
      <c r="AN512" s="2">
        <f t="shared" si="62"/>
        <v>0</v>
      </c>
    </row>
    <row r="513" spans="1:40" x14ac:dyDescent="0.25">
      <c r="A513" s="56"/>
      <c r="B513" s="27"/>
      <c r="C513" s="9"/>
      <c r="D513" s="6"/>
      <c r="E513" s="1"/>
      <c r="F513" s="1"/>
      <c r="G513" s="1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2">
        <f t="shared" si="57"/>
        <v>0</v>
      </c>
      <c r="AJ513" s="2">
        <f t="shared" si="58"/>
        <v>0</v>
      </c>
      <c r="AK513" s="2">
        <f t="shared" si="59"/>
        <v>0</v>
      </c>
      <c r="AL513" s="2">
        <f t="shared" si="60"/>
        <v>0</v>
      </c>
      <c r="AM513" s="2">
        <f t="shared" si="61"/>
        <v>0</v>
      </c>
      <c r="AN513" s="2">
        <f t="shared" si="62"/>
        <v>0</v>
      </c>
    </row>
    <row r="514" spans="1:40" x14ac:dyDescent="0.25">
      <c r="A514" s="56"/>
      <c r="B514" s="27"/>
      <c r="C514" s="9"/>
      <c r="D514" s="6"/>
      <c r="E514" s="1"/>
      <c r="F514" s="1"/>
      <c r="G514" s="1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2">
        <f t="shared" si="57"/>
        <v>0</v>
      </c>
      <c r="AJ514" s="2">
        <f t="shared" si="58"/>
        <v>0</v>
      </c>
      <c r="AK514" s="2">
        <f t="shared" si="59"/>
        <v>0</v>
      </c>
      <c r="AL514" s="2">
        <f t="shared" si="60"/>
        <v>0</v>
      </c>
      <c r="AM514" s="2">
        <f t="shared" si="61"/>
        <v>0</v>
      </c>
      <c r="AN514" s="2">
        <f t="shared" si="62"/>
        <v>0</v>
      </c>
    </row>
    <row r="515" spans="1:40" x14ac:dyDescent="0.25">
      <c r="A515" s="56"/>
      <c r="B515" s="27"/>
      <c r="C515" s="9"/>
      <c r="D515" s="6"/>
      <c r="E515" s="1"/>
      <c r="F515" s="1"/>
      <c r="G515" s="1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2">
        <f t="shared" si="57"/>
        <v>0</v>
      </c>
      <c r="AJ515" s="2">
        <f t="shared" si="58"/>
        <v>0</v>
      </c>
      <c r="AK515" s="2">
        <f t="shared" si="59"/>
        <v>0</v>
      </c>
      <c r="AL515" s="2">
        <f t="shared" si="60"/>
        <v>0</v>
      </c>
      <c r="AM515" s="2">
        <f t="shared" si="61"/>
        <v>0</v>
      </c>
      <c r="AN515" s="2">
        <f t="shared" si="62"/>
        <v>0</v>
      </c>
    </row>
    <row r="516" spans="1:40" x14ac:dyDescent="0.25">
      <c r="A516" s="56"/>
      <c r="B516" s="27"/>
      <c r="C516" s="9"/>
      <c r="D516" s="6"/>
      <c r="E516" s="1"/>
      <c r="F516" s="1"/>
      <c r="G516" s="1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2">
        <f t="shared" si="57"/>
        <v>0</v>
      </c>
      <c r="AJ516" s="2">
        <f t="shared" si="58"/>
        <v>0</v>
      </c>
      <c r="AK516" s="2">
        <f t="shared" si="59"/>
        <v>0</v>
      </c>
      <c r="AL516" s="2">
        <f t="shared" si="60"/>
        <v>0</v>
      </c>
      <c r="AM516" s="2">
        <f t="shared" si="61"/>
        <v>0</v>
      </c>
      <c r="AN516" s="2">
        <f t="shared" si="62"/>
        <v>0</v>
      </c>
    </row>
    <row r="517" spans="1:40" x14ac:dyDescent="0.25">
      <c r="A517" s="56"/>
      <c r="B517" s="27"/>
      <c r="C517" s="9"/>
      <c r="D517" s="6"/>
      <c r="E517" s="1"/>
      <c r="F517" s="1"/>
      <c r="G517" s="1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2">
        <f t="shared" si="57"/>
        <v>0</v>
      </c>
      <c r="AJ517" s="2">
        <f t="shared" si="58"/>
        <v>0</v>
      </c>
      <c r="AK517" s="2">
        <f t="shared" si="59"/>
        <v>0</v>
      </c>
      <c r="AL517" s="2">
        <f t="shared" si="60"/>
        <v>0</v>
      </c>
      <c r="AM517" s="2">
        <f t="shared" si="61"/>
        <v>0</v>
      </c>
      <c r="AN517" s="2">
        <f t="shared" si="62"/>
        <v>0</v>
      </c>
    </row>
    <row r="518" spans="1:40" x14ac:dyDescent="0.25">
      <c r="A518" s="56"/>
      <c r="B518" s="27"/>
      <c r="C518" s="9"/>
      <c r="D518" s="6"/>
      <c r="E518" s="1"/>
      <c r="F518" s="1"/>
      <c r="G518" s="1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2">
        <f t="shared" si="57"/>
        <v>0</v>
      </c>
      <c r="AJ518" s="2">
        <f t="shared" si="58"/>
        <v>0</v>
      </c>
      <c r="AK518" s="2">
        <f t="shared" si="59"/>
        <v>0</v>
      </c>
      <c r="AL518" s="2">
        <f t="shared" si="60"/>
        <v>0</v>
      </c>
      <c r="AM518" s="2">
        <f t="shared" si="61"/>
        <v>0</v>
      </c>
      <c r="AN518" s="2">
        <f t="shared" si="62"/>
        <v>0</v>
      </c>
    </row>
    <row r="519" spans="1:40" x14ac:dyDescent="0.25">
      <c r="A519" s="56"/>
      <c r="B519" s="27"/>
      <c r="C519" s="9"/>
      <c r="D519" s="6"/>
      <c r="E519" s="1"/>
      <c r="F519" s="1"/>
      <c r="G519" s="1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2">
        <f t="shared" si="57"/>
        <v>0</v>
      </c>
      <c r="AJ519" s="2">
        <f t="shared" si="58"/>
        <v>0</v>
      </c>
      <c r="AK519" s="2">
        <f t="shared" si="59"/>
        <v>0</v>
      </c>
      <c r="AL519" s="2">
        <f t="shared" si="60"/>
        <v>0</v>
      </c>
      <c r="AM519" s="2">
        <f t="shared" si="61"/>
        <v>0</v>
      </c>
      <c r="AN519" s="2">
        <f t="shared" si="62"/>
        <v>0</v>
      </c>
    </row>
    <row r="520" spans="1:40" x14ac:dyDescent="0.25">
      <c r="A520" s="56"/>
      <c r="B520" s="27"/>
      <c r="C520" s="9"/>
      <c r="D520" s="6"/>
      <c r="E520" s="1"/>
      <c r="F520" s="1"/>
      <c r="G520" s="1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2">
        <f t="shared" ref="AI520:AI583" si="63">H520-AG520+AH520</f>
        <v>0</v>
      </c>
      <c r="AJ520" s="2">
        <f t="shared" ref="AJ520:AJ583" si="64">SUM(I520:T520)</f>
        <v>0</v>
      </c>
      <c r="AK520" s="2">
        <f t="shared" ref="AK520:AK583" si="65">SUM(U520:AF520)</f>
        <v>0</v>
      </c>
      <c r="AL520" s="2">
        <f t="shared" si="60"/>
        <v>0</v>
      </c>
      <c r="AM520" s="2">
        <f t="shared" si="61"/>
        <v>0</v>
      </c>
      <c r="AN520" s="2">
        <f t="shared" si="62"/>
        <v>0</v>
      </c>
    </row>
    <row r="521" spans="1:40" x14ac:dyDescent="0.25">
      <c r="A521" s="56"/>
      <c r="B521" s="27"/>
      <c r="C521" s="9"/>
      <c r="D521" s="6"/>
      <c r="E521" s="1"/>
      <c r="F521" s="1"/>
      <c r="G521" s="1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2">
        <f t="shared" si="63"/>
        <v>0</v>
      </c>
      <c r="AJ521" s="2">
        <f t="shared" si="64"/>
        <v>0</v>
      </c>
      <c r="AK521" s="2">
        <f t="shared" si="65"/>
        <v>0</v>
      </c>
      <c r="AL521" s="2">
        <f t="shared" si="60"/>
        <v>0</v>
      </c>
      <c r="AM521" s="2">
        <f t="shared" si="61"/>
        <v>0</v>
      </c>
      <c r="AN521" s="2">
        <f t="shared" si="62"/>
        <v>0</v>
      </c>
    </row>
    <row r="522" spans="1:40" x14ac:dyDescent="0.25">
      <c r="A522" s="56"/>
      <c r="B522" s="27"/>
      <c r="C522" s="9"/>
      <c r="D522" s="6"/>
      <c r="E522" s="1"/>
      <c r="F522" s="1"/>
      <c r="G522" s="1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2">
        <f t="shared" si="63"/>
        <v>0</v>
      </c>
      <c r="AJ522" s="2">
        <f t="shared" si="64"/>
        <v>0</v>
      </c>
      <c r="AK522" s="2">
        <f t="shared" si="65"/>
        <v>0</v>
      </c>
      <c r="AL522" s="2">
        <f t="shared" si="60"/>
        <v>0</v>
      </c>
      <c r="AM522" s="2">
        <f t="shared" si="61"/>
        <v>0</v>
      </c>
      <c r="AN522" s="2">
        <f t="shared" si="62"/>
        <v>0</v>
      </c>
    </row>
    <row r="523" spans="1:40" x14ac:dyDescent="0.25">
      <c r="A523" s="56"/>
      <c r="B523" s="27"/>
      <c r="C523" s="9"/>
      <c r="D523" s="6"/>
      <c r="E523" s="1"/>
      <c r="F523" s="1"/>
      <c r="G523" s="1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2">
        <f t="shared" si="63"/>
        <v>0</v>
      </c>
      <c r="AJ523" s="2">
        <f t="shared" si="64"/>
        <v>0</v>
      </c>
      <c r="AK523" s="2">
        <f t="shared" si="65"/>
        <v>0</v>
      </c>
      <c r="AL523" s="2">
        <f t="shared" si="60"/>
        <v>0</v>
      </c>
      <c r="AM523" s="2">
        <f t="shared" si="61"/>
        <v>0</v>
      </c>
      <c r="AN523" s="2">
        <f t="shared" si="62"/>
        <v>0</v>
      </c>
    </row>
    <row r="524" spans="1:40" x14ac:dyDescent="0.25">
      <c r="A524" s="56"/>
      <c r="B524" s="27"/>
      <c r="C524" s="9"/>
      <c r="D524" s="6"/>
      <c r="E524" s="1"/>
      <c r="F524" s="1"/>
      <c r="G524" s="1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2">
        <f t="shared" si="63"/>
        <v>0</v>
      </c>
      <c r="AJ524" s="2">
        <f t="shared" si="64"/>
        <v>0</v>
      </c>
      <c r="AK524" s="2">
        <f t="shared" si="65"/>
        <v>0</v>
      </c>
      <c r="AL524" s="2">
        <f t="shared" si="60"/>
        <v>0</v>
      </c>
      <c r="AM524" s="2">
        <f t="shared" si="61"/>
        <v>0</v>
      </c>
      <c r="AN524" s="2">
        <f t="shared" si="62"/>
        <v>0</v>
      </c>
    </row>
    <row r="525" spans="1:40" x14ac:dyDescent="0.25">
      <c r="A525" s="56"/>
      <c r="B525" s="27"/>
      <c r="C525" s="9"/>
      <c r="D525" s="6"/>
      <c r="E525" s="1"/>
      <c r="F525" s="1"/>
      <c r="G525" s="1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2">
        <f t="shared" si="63"/>
        <v>0</v>
      </c>
      <c r="AJ525" s="2">
        <f t="shared" si="64"/>
        <v>0</v>
      </c>
      <c r="AK525" s="2">
        <f t="shared" si="65"/>
        <v>0</v>
      </c>
      <c r="AL525" s="2">
        <f t="shared" si="60"/>
        <v>0</v>
      </c>
      <c r="AM525" s="2">
        <f t="shared" si="61"/>
        <v>0</v>
      </c>
      <c r="AN525" s="2">
        <f t="shared" si="62"/>
        <v>0</v>
      </c>
    </row>
    <row r="526" spans="1:40" x14ac:dyDescent="0.25">
      <c r="A526" s="56"/>
      <c r="B526" s="27"/>
      <c r="C526" s="9"/>
      <c r="D526" s="6"/>
      <c r="E526" s="1"/>
      <c r="F526" s="1"/>
      <c r="G526" s="1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2">
        <f t="shared" si="63"/>
        <v>0</v>
      </c>
      <c r="AJ526" s="2">
        <f t="shared" si="64"/>
        <v>0</v>
      </c>
      <c r="AK526" s="2">
        <f t="shared" si="65"/>
        <v>0</v>
      </c>
      <c r="AL526" s="2">
        <f t="shared" si="60"/>
        <v>0</v>
      </c>
      <c r="AM526" s="2">
        <f t="shared" si="61"/>
        <v>0</v>
      </c>
      <c r="AN526" s="2">
        <f t="shared" si="62"/>
        <v>0</v>
      </c>
    </row>
    <row r="527" spans="1:40" x14ac:dyDescent="0.25">
      <c r="A527" s="56"/>
      <c r="B527" s="27"/>
      <c r="C527" s="9"/>
      <c r="D527" s="6"/>
      <c r="E527" s="1"/>
      <c r="F527" s="1"/>
      <c r="G527" s="1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2">
        <f t="shared" si="63"/>
        <v>0</v>
      </c>
      <c r="AJ527" s="2">
        <f t="shared" si="64"/>
        <v>0</v>
      </c>
      <c r="AK527" s="2">
        <f t="shared" si="65"/>
        <v>0</v>
      </c>
      <c r="AL527" s="2">
        <f t="shared" si="60"/>
        <v>0</v>
      </c>
      <c r="AM527" s="2">
        <f t="shared" si="61"/>
        <v>0</v>
      </c>
      <c r="AN527" s="2">
        <f t="shared" si="62"/>
        <v>0</v>
      </c>
    </row>
    <row r="528" spans="1:40" x14ac:dyDescent="0.25">
      <c r="A528" s="56"/>
      <c r="B528" s="27"/>
      <c r="C528" s="9"/>
      <c r="D528" s="6"/>
      <c r="E528" s="1"/>
      <c r="F528" s="1"/>
      <c r="G528" s="1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2">
        <f t="shared" si="63"/>
        <v>0</v>
      </c>
      <c r="AJ528" s="2">
        <f t="shared" si="64"/>
        <v>0</v>
      </c>
      <c r="AK528" s="2">
        <f t="shared" si="65"/>
        <v>0</v>
      </c>
      <c r="AL528" s="2">
        <f t="shared" si="60"/>
        <v>0</v>
      </c>
      <c r="AM528" s="2">
        <f t="shared" si="61"/>
        <v>0</v>
      </c>
      <c r="AN528" s="2">
        <f t="shared" si="62"/>
        <v>0</v>
      </c>
    </row>
    <row r="529" spans="1:40" x14ac:dyDescent="0.25">
      <c r="A529" s="56"/>
      <c r="B529" s="27"/>
      <c r="C529" s="9"/>
      <c r="D529" s="6"/>
      <c r="E529" s="1"/>
      <c r="F529" s="1"/>
      <c r="G529" s="1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2">
        <f t="shared" si="63"/>
        <v>0</v>
      </c>
      <c r="AJ529" s="2">
        <f t="shared" si="64"/>
        <v>0</v>
      </c>
      <c r="AK529" s="2">
        <f t="shared" si="65"/>
        <v>0</v>
      </c>
      <c r="AL529" s="2">
        <f t="shared" si="60"/>
        <v>0</v>
      </c>
      <c r="AM529" s="2">
        <f t="shared" si="61"/>
        <v>0</v>
      </c>
      <c r="AN529" s="2">
        <f t="shared" si="62"/>
        <v>0</v>
      </c>
    </row>
    <row r="530" spans="1:40" x14ac:dyDescent="0.25">
      <c r="A530" s="56"/>
      <c r="B530" s="27"/>
      <c r="C530" s="9"/>
      <c r="D530" s="6"/>
      <c r="E530" s="1"/>
      <c r="F530" s="1"/>
      <c r="G530" s="1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2">
        <f t="shared" si="63"/>
        <v>0</v>
      </c>
      <c r="AJ530" s="2">
        <f t="shared" si="64"/>
        <v>0</v>
      </c>
      <c r="AK530" s="2">
        <f t="shared" si="65"/>
        <v>0</v>
      </c>
      <c r="AL530" s="2">
        <f t="shared" si="60"/>
        <v>0</v>
      </c>
      <c r="AM530" s="2">
        <f t="shared" si="61"/>
        <v>0</v>
      </c>
      <c r="AN530" s="2">
        <f t="shared" si="62"/>
        <v>0</v>
      </c>
    </row>
    <row r="531" spans="1:40" x14ac:dyDescent="0.25">
      <c r="A531" s="56"/>
      <c r="B531" s="27"/>
      <c r="C531" s="9"/>
      <c r="D531" s="6"/>
      <c r="E531" s="1"/>
      <c r="F531" s="1"/>
      <c r="G531" s="1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2">
        <f t="shared" si="63"/>
        <v>0</v>
      </c>
      <c r="AJ531" s="2">
        <f t="shared" si="64"/>
        <v>0</v>
      </c>
      <c r="AK531" s="2">
        <f t="shared" si="65"/>
        <v>0</v>
      </c>
      <c r="AL531" s="2">
        <f t="shared" si="60"/>
        <v>0</v>
      </c>
      <c r="AM531" s="2">
        <f t="shared" si="61"/>
        <v>0</v>
      </c>
      <c r="AN531" s="2">
        <f t="shared" si="62"/>
        <v>0</v>
      </c>
    </row>
    <row r="532" spans="1:40" x14ac:dyDescent="0.25">
      <c r="A532" s="56"/>
      <c r="B532" s="27"/>
      <c r="C532" s="9"/>
      <c r="D532" s="6"/>
      <c r="E532" s="1"/>
      <c r="F532" s="1"/>
      <c r="G532" s="1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2">
        <f t="shared" si="63"/>
        <v>0</v>
      </c>
      <c r="AJ532" s="2">
        <f t="shared" si="64"/>
        <v>0</v>
      </c>
      <c r="AK532" s="2">
        <f t="shared" si="65"/>
        <v>0</v>
      </c>
      <c r="AL532" s="2">
        <f t="shared" si="60"/>
        <v>0</v>
      </c>
      <c r="AM532" s="2">
        <f t="shared" si="61"/>
        <v>0</v>
      </c>
      <c r="AN532" s="2">
        <f t="shared" si="62"/>
        <v>0</v>
      </c>
    </row>
    <row r="533" spans="1:40" x14ac:dyDescent="0.25">
      <c r="A533" s="56"/>
      <c r="B533" s="27"/>
      <c r="C533" s="9"/>
      <c r="D533" s="6"/>
      <c r="E533" s="1"/>
      <c r="F533" s="1"/>
      <c r="G533" s="1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2">
        <f t="shared" si="63"/>
        <v>0</v>
      </c>
      <c r="AJ533" s="2">
        <f t="shared" si="64"/>
        <v>0</v>
      </c>
      <c r="AK533" s="2">
        <f t="shared" si="65"/>
        <v>0</v>
      </c>
      <c r="AL533" s="2">
        <f t="shared" si="60"/>
        <v>0</v>
      </c>
      <c r="AM533" s="2">
        <f t="shared" si="61"/>
        <v>0</v>
      </c>
      <c r="AN533" s="2">
        <f t="shared" si="62"/>
        <v>0</v>
      </c>
    </row>
    <row r="534" spans="1:40" x14ac:dyDescent="0.25">
      <c r="A534" s="56"/>
      <c r="B534" s="27"/>
      <c r="C534" s="9"/>
      <c r="D534" s="6"/>
      <c r="E534" s="1"/>
      <c r="F534" s="1"/>
      <c r="G534" s="1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2">
        <f t="shared" si="63"/>
        <v>0</v>
      </c>
      <c r="AJ534" s="2">
        <f t="shared" si="64"/>
        <v>0</v>
      </c>
      <c r="AK534" s="2">
        <f t="shared" si="65"/>
        <v>0</v>
      </c>
      <c r="AL534" s="2">
        <f t="shared" si="60"/>
        <v>0</v>
      </c>
      <c r="AM534" s="2">
        <f t="shared" si="61"/>
        <v>0</v>
      </c>
      <c r="AN534" s="2">
        <f t="shared" si="62"/>
        <v>0</v>
      </c>
    </row>
    <row r="535" spans="1:40" x14ac:dyDescent="0.25">
      <c r="A535" s="56"/>
      <c r="B535" s="27"/>
      <c r="C535" s="9"/>
      <c r="D535" s="6"/>
      <c r="E535" s="1"/>
      <c r="F535" s="1"/>
      <c r="G535" s="1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2">
        <f t="shared" si="63"/>
        <v>0</v>
      </c>
      <c r="AJ535" s="2">
        <f t="shared" si="64"/>
        <v>0</v>
      </c>
      <c r="AK535" s="2">
        <f t="shared" si="65"/>
        <v>0</v>
      </c>
      <c r="AL535" s="2">
        <f t="shared" si="60"/>
        <v>0</v>
      </c>
      <c r="AM535" s="2">
        <f t="shared" si="61"/>
        <v>0</v>
      </c>
      <c r="AN535" s="2">
        <f t="shared" si="62"/>
        <v>0</v>
      </c>
    </row>
    <row r="536" spans="1:40" x14ac:dyDescent="0.25">
      <c r="A536" s="56"/>
      <c r="B536" s="27"/>
      <c r="C536" s="9"/>
      <c r="D536" s="6"/>
      <c r="E536" s="1"/>
      <c r="F536" s="1"/>
      <c r="G536" s="1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2">
        <f t="shared" si="63"/>
        <v>0</v>
      </c>
      <c r="AJ536" s="2">
        <f t="shared" si="64"/>
        <v>0</v>
      </c>
      <c r="AK536" s="2">
        <f t="shared" si="65"/>
        <v>0</v>
      </c>
      <c r="AL536" s="2">
        <f t="shared" si="60"/>
        <v>0</v>
      </c>
      <c r="AM536" s="2">
        <f t="shared" si="61"/>
        <v>0</v>
      </c>
      <c r="AN536" s="2">
        <f t="shared" si="62"/>
        <v>0</v>
      </c>
    </row>
    <row r="537" spans="1:40" x14ac:dyDescent="0.25">
      <c r="A537" s="56"/>
      <c r="B537" s="27"/>
      <c r="C537" s="9"/>
      <c r="D537" s="6"/>
      <c r="E537" s="1"/>
      <c r="F537" s="1"/>
      <c r="G537" s="1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2">
        <f t="shared" si="63"/>
        <v>0</v>
      </c>
      <c r="AJ537" s="2">
        <f t="shared" si="64"/>
        <v>0</v>
      </c>
      <c r="AK537" s="2">
        <f t="shared" si="65"/>
        <v>0</v>
      </c>
      <c r="AL537" s="2">
        <f t="shared" si="60"/>
        <v>0</v>
      </c>
      <c r="AM537" s="2">
        <f t="shared" si="61"/>
        <v>0</v>
      </c>
      <c r="AN537" s="2">
        <f t="shared" si="62"/>
        <v>0</v>
      </c>
    </row>
    <row r="538" spans="1:40" x14ac:dyDescent="0.25">
      <c r="A538" s="56"/>
      <c r="B538" s="27"/>
      <c r="C538" s="9"/>
      <c r="D538" s="6"/>
      <c r="E538" s="1"/>
      <c r="F538" s="1"/>
      <c r="G538" s="1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2">
        <f t="shared" si="63"/>
        <v>0</v>
      </c>
      <c r="AJ538" s="2">
        <f t="shared" si="64"/>
        <v>0</v>
      </c>
      <c r="AK538" s="2">
        <f t="shared" si="65"/>
        <v>0</v>
      </c>
      <c r="AL538" s="2">
        <f t="shared" si="60"/>
        <v>0</v>
      </c>
      <c r="AM538" s="2">
        <f t="shared" si="61"/>
        <v>0</v>
      </c>
      <c r="AN538" s="2">
        <f t="shared" si="62"/>
        <v>0</v>
      </c>
    </row>
    <row r="539" spans="1:40" x14ac:dyDescent="0.25">
      <c r="A539" s="56"/>
      <c r="B539" s="27"/>
      <c r="C539" s="9"/>
      <c r="D539" s="6"/>
      <c r="E539" s="1"/>
      <c r="F539" s="1"/>
      <c r="G539" s="1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2">
        <f t="shared" si="63"/>
        <v>0</v>
      </c>
      <c r="AJ539" s="2">
        <f t="shared" si="64"/>
        <v>0</v>
      </c>
      <c r="AK539" s="2">
        <f t="shared" si="65"/>
        <v>0</v>
      </c>
      <c r="AL539" s="2">
        <f t="shared" si="60"/>
        <v>0</v>
      </c>
      <c r="AM539" s="2">
        <f t="shared" si="61"/>
        <v>0</v>
      </c>
      <c r="AN539" s="2">
        <f t="shared" si="62"/>
        <v>0</v>
      </c>
    </row>
    <row r="540" spans="1:40" x14ac:dyDescent="0.25">
      <c r="A540" s="56"/>
      <c r="B540" s="27"/>
      <c r="C540" s="9"/>
      <c r="D540" s="6"/>
      <c r="E540" s="1"/>
      <c r="F540" s="1"/>
      <c r="G540" s="1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2">
        <f t="shared" si="63"/>
        <v>0</v>
      </c>
      <c r="AJ540" s="2">
        <f t="shared" si="64"/>
        <v>0</v>
      </c>
      <c r="AK540" s="2">
        <f t="shared" si="65"/>
        <v>0</v>
      </c>
      <c r="AL540" s="2">
        <f t="shared" si="60"/>
        <v>0</v>
      </c>
      <c r="AM540" s="2">
        <f t="shared" si="61"/>
        <v>0</v>
      </c>
      <c r="AN540" s="2">
        <f t="shared" si="62"/>
        <v>0</v>
      </c>
    </row>
    <row r="541" spans="1:40" x14ac:dyDescent="0.25">
      <c r="A541" s="56"/>
      <c r="B541" s="27"/>
      <c r="C541" s="9"/>
      <c r="D541" s="6"/>
      <c r="E541" s="1"/>
      <c r="F541" s="1"/>
      <c r="G541" s="1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2">
        <f t="shared" si="63"/>
        <v>0</v>
      </c>
      <c r="AJ541" s="2">
        <f t="shared" si="64"/>
        <v>0</v>
      </c>
      <c r="AK541" s="2">
        <f t="shared" si="65"/>
        <v>0</v>
      </c>
      <c r="AL541" s="2">
        <f t="shared" si="60"/>
        <v>0</v>
      </c>
      <c r="AM541" s="2">
        <f t="shared" si="61"/>
        <v>0</v>
      </c>
      <c r="AN541" s="2">
        <f t="shared" si="62"/>
        <v>0</v>
      </c>
    </row>
    <row r="542" spans="1:40" x14ac:dyDescent="0.25">
      <c r="A542" s="56"/>
      <c r="B542" s="27"/>
      <c r="C542" s="9"/>
      <c r="D542" s="6"/>
      <c r="E542" s="1"/>
      <c r="F542" s="1"/>
      <c r="G542" s="1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2">
        <f t="shared" si="63"/>
        <v>0</v>
      </c>
      <c r="AJ542" s="2">
        <f t="shared" si="64"/>
        <v>0</v>
      </c>
      <c r="AK542" s="2">
        <f t="shared" si="65"/>
        <v>0</v>
      </c>
      <c r="AL542" s="2">
        <f t="shared" si="60"/>
        <v>0</v>
      </c>
      <c r="AM542" s="2">
        <f t="shared" si="61"/>
        <v>0</v>
      </c>
      <c r="AN542" s="2">
        <f t="shared" si="62"/>
        <v>0</v>
      </c>
    </row>
    <row r="543" spans="1:40" x14ac:dyDescent="0.25">
      <c r="A543" s="56"/>
      <c r="B543" s="27"/>
      <c r="C543" s="9"/>
      <c r="D543" s="6"/>
      <c r="E543" s="1"/>
      <c r="F543" s="1"/>
      <c r="G543" s="1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2">
        <f t="shared" si="63"/>
        <v>0</v>
      </c>
      <c r="AJ543" s="2">
        <f t="shared" si="64"/>
        <v>0</v>
      </c>
      <c r="AK543" s="2">
        <f t="shared" si="65"/>
        <v>0</v>
      </c>
      <c r="AL543" s="2">
        <f t="shared" si="60"/>
        <v>0</v>
      </c>
      <c r="AM543" s="2">
        <f t="shared" si="61"/>
        <v>0</v>
      </c>
      <c r="AN543" s="2">
        <f t="shared" si="62"/>
        <v>0</v>
      </c>
    </row>
    <row r="544" spans="1:40" x14ac:dyDescent="0.25">
      <c r="A544" s="56"/>
      <c r="B544" s="27"/>
      <c r="C544" s="9"/>
      <c r="D544" s="6"/>
      <c r="E544" s="1"/>
      <c r="F544" s="1"/>
      <c r="G544" s="1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2">
        <f t="shared" si="63"/>
        <v>0</v>
      </c>
      <c r="AJ544" s="2">
        <f t="shared" si="64"/>
        <v>0</v>
      </c>
      <c r="AK544" s="2">
        <f t="shared" si="65"/>
        <v>0</v>
      </c>
      <c r="AL544" s="2">
        <f t="shared" si="60"/>
        <v>0</v>
      </c>
      <c r="AM544" s="2">
        <f t="shared" si="61"/>
        <v>0</v>
      </c>
      <c r="AN544" s="2">
        <f t="shared" si="62"/>
        <v>0</v>
      </c>
    </row>
    <row r="545" spans="1:40" x14ac:dyDescent="0.25">
      <c r="A545" s="56"/>
      <c r="B545" s="27"/>
      <c r="C545" s="9"/>
      <c r="D545" s="6"/>
      <c r="E545" s="1"/>
      <c r="F545" s="1"/>
      <c r="G545" s="1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2">
        <f t="shared" si="63"/>
        <v>0</v>
      </c>
      <c r="AJ545" s="2">
        <f t="shared" si="64"/>
        <v>0</v>
      </c>
      <c r="AK545" s="2">
        <f t="shared" si="65"/>
        <v>0</v>
      </c>
      <c r="AL545" s="2">
        <f t="shared" si="60"/>
        <v>0</v>
      </c>
      <c r="AM545" s="2">
        <f t="shared" si="61"/>
        <v>0</v>
      </c>
      <c r="AN545" s="2">
        <f t="shared" si="62"/>
        <v>0</v>
      </c>
    </row>
    <row r="546" spans="1:40" x14ac:dyDescent="0.25">
      <c r="A546" s="56"/>
      <c r="B546" s="27"/>
      <c r="C546" s="9"/>
      <c r="D546" s="6"/>
      <c r="E546" s="1"/>
      <c r="F546" s="1"/>
      <c r="G546" s="1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2">
        <f t="shared" si="63"/>
        <v>0</v>
      </c>
      <c r="AJ546" s="2">
        <f t="shared" si="64"/>
        <v>0</v>
      </c>
      <c r="AK546" s="2">
        <f t="shared" si="65"/>
        <v>0</v>
      </c>
      <c r="AL546" s="2">
        <f t="shared" si="60"/>
        <v>0</v>
      </c>
      <c r="AM546" s="2">
        <f t="shared" si="61"/>
        <v>0</v>
      </c>
      <c r="AN546" s="2">
        <f t="shared" si="62"/>
        <v>0</v>
      </c>
    </row>
    <row r="547" spans="1:40" x14ac:dyDescent="0.25">
      <c r="A547" s="56"/>
      <c r="B547" s="27"/>
      <c r="C547" s="9"/>
      <c r="D547" s="6"/>
      <c r="E547" s="1"/>
      <c r="F547" s="1"/>
      <c r="G547" s="1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2">
        <f t="shared" si="63"/>
        <v>0</v>
      </c>
      <c r="AJ547" s="2">
        <f t="shared" si="64"/>
        <v>0</v>
      </c>
      <c r="AK547" s="2">
        <f t="shared" si="65"/>
        <v>0</v>
      </c>
      <c r="AL547" s="2">
        <f t="shared" si="60"/>
        <v>0</v>
      </c>
      <c r="AM547" s="2">
        <f t="shared" si="61"/>
        <v>0</v>
      </c>
      <c r="AN547" s="2">
        <f t="shared" si="62"/>
        <v>0</v>
      </c>
    </row>
    <row r="548" spans="1:40" x14ac:dyDescent="0.25">
      <c r="A548" s="56"/>
      <c r="B548" s="27"/>
      <c r="C548" s="9"/>
      <c r="D548" s="6"/>
      <c r="E548" s="1"/>
      <c r="F548" s="1"/>
      <c r="G548" s="1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2">
        <f t="shared" si="63"/>
        <v>0</v>
      </c>
      <c r="AJ548" s="2">
        <f t="shared" si="64"/>
        <v>0</v>
      </c>
      <c r="AK548" s="2">
        <f t="shared" si="65"/>
        <v>0</v>
      </c>
      <c r="AL548" s="2">
        <f t="shared" si="60"/>
        <v>0</v>
      </c>
      <c r="AM548" s="2">
        <f t="shared" si="61"/>
        <v>0</v>
      </c>
      <c r="AN548" s="2">
        <f t="shared" si="62"/>
        <v>0</v>
      </c>
    </row>
    <row r="549" spans="1:40" x14ac:dyDescent="0.25">
      <c r="A549" s="56"/>
      <c r="B549" s="27"/>
      <c r="C549" s="9"/>
      <c r="D549" s="6"/>
      <c r="E549" s="1"/>
      <c r="F549" s="1"/>
      <c r="G549" s="1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2">
        <f t="shared" si="63"/>
        <v>0</v>
      </c>
      <c r="AJ549" s="2">
        <f t="shared" si="64"/>
        <v>0</v>
      </c>
      <c r="AK549" s="2">
        <f t="shared" si="65"/>
        <v>0</v>
      </c>
      <c r="AL549" s="2">
        <f t="shared" si="60"/>
        <v>0</v>
      </c>
      <c r="AM549" s="2">
        <f t="shared" si="61"/>
        <v>0</v>
      </c>
      <c r="AN549" s="2">
        <f t="shared" si="62"/>
        <v>0</v>
      </c>
    </row>
    <row r="550" spans="1:40" x14ac:dyDescent="0.25">
      <c r="A550" s="56"/>
      <c r="B550" s="27"/>
      <c r="C550" s="9"/>
      <c r="D550" s="6"/>
      <c r="E550" s="1"/>
      <c r="F550" s="1"/>
      <c r="G550" s="1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2">
        <f t="shared" si="63"/>
        <v>0</v>
      </c>
      <c r="AJ550" s="2">
        <f t="shared" si="64"/>
        <v>0</v>
      </c>
      <c r="AK550" s="2">
        <f t="shared" si="65"/>
        <v>0</v>
      </c>
      <c r="AL550" s="2">
        <f t="shared" si="60"/>
        <v>0</v>
      </c>
      <c r="AM550" s="2">
        <f t="shared" si="61"/>
        <v>0</v>
      </c>
      <c r="AN550" s="2">
        <f t="shared" si="62"/>
        <v>0</v>
      </c>
    </row>
    <row r="551" spans="1:40" x14ac:dyDescent="0.25">
      <c r="A551" s="56"/>
      <c r="B551" s="27"/>
      <c r="C551" s="9"/>
      <c r="D551" s="6"/>
      <c r="E551" s="1"/>
      <c r="F551" s="1"/>
      <c r="G551" s="1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2">
        <f t="shared" si="63"/>
        <v>0</v>
      </c>
      <c r="AJ551" s="2">
        <f t="shared" si="64"/>
        <v>0</v>
      </c>
      <c r="AK551" s="2">
        <f t="shared" si="65"/>
        <v>0</v>
      </c>
      <c r="AL551" s="2">
        <f t="shared" si="60"/>
        <v>0</v>
      </c>
      <c r="AM551" s="2">
        <f t="shared" si="61"/>
        <v>0</v>
      </c>
      <c r="AN551" s="2">
        <f t="shared" si="62"/>
        <v>0</v>
      </c>
    </row>
    <row r="552" spans="1:40" x14ac:dyDescent="0.25">
      <c r="A552" s="56"/>
      <c r="B552" s="27"/>
      <c r="C552" s="9"/>
      <c r="D552" s="6"/>
      <c r="E552" s="1"/>
      <c r="F552" s="1"/>
      <c r="G552" s="1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2">
        <f t="shared" si="63"/>
        <v>0</v>
      </c>
      <c r="AJ552" s="2">
        <f t="shared" si="64"/>
        <v>0</v>
      </c>
      <c r="AK552" s="2">
        <f t="shared" si="65"/>
        <v>0</v>
      </c>
      <c r="AL552" s="2">
        <f t="shared" si="60"/>
        <v>0</v>
      </c>
      <c r="AM552" s="2">
        <f t="shared" si="61"/>
        <v>0</v>
      </c>
      <c r="AN552" s="2">
        <f t="shared" si="62"/>
        <v>0</v>
      </c>
    </row>
    <row r="553" spans="1:40" x14ac:dyDescent="0.25">
      <c r="A553" s="56"/>
      <c r="B553" s="27"/>
      <c r="C553" s="9"/>
      <c r="D553" s="6"/>
      <c r="E553" s="1"/>
      <c r="F553" s="1"/>
      <c r="G553" s="1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2">
        <f t="shared" si="63"/>
        <v>0</v>
      </c>
      <c r="AJ553" s="2">
        <f t="shared" si="64"/>
        <v>0</v>
      </c>
      <c r="AK553" s="2">
        <f t="shared" si="65"/>
        <v>0</v>
      </c>
      <c r="AL553" s="2">
        <f t="shared" si="60"/>
        <v>0</v>
      </c>
      <c r="AM553" s="2">
        <f t="shared" si="61"/>
        <v>0</v>
      </c>
      <c r="AN553" s="2">
        <f t="shared" si="62"/>
        <v>0</v>
      </c>
    </row>
    <row r="554" spans="1:40" x14ac:dyDescent="0.25">
      <c r="A554" s="56"/>
      <c r="B554" s="27"/>
      <c r="C554" s="9"/>
      <c r="D554" s="6"/>
      <c r="E554" s="1"/>
      <c r="F554" s="1"/>
      <c r="G554" s="1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2">
        <f t="shared" si="63"/>
        <v>0</v>
      </c>
      <c r="AJ554" s="2">
        <f t="shared" si="64"/>
        <v>0</v>
      </c>
      <c r="AK554" s="2">
        <f t="shared" si="65"/>
        <v>0</v>
      </c>
      <c r="AL554" s="2">
        <f t="shared" si="60"/>
        <v>0</v>
      </c>
      <c r="AM554" s="2">
        <f t="shared" si="61"/>
        <v>0</v>
      </c>
      <c r="AN554" s="2">
        <f t="shared" si="62"/>
        <v>0</v>
      </c>
    </row>
    <row r="555" spans="1:40" x14ac:dyDescent="0.25">
      <c r="A555" s="56"/>
      <c r="B555" s="27"/>
      <c r="C555" s="9"/>
      <c r="D555" s="6"/>
      <c r="E555" s="1"/>
      <c r="F555" s="1"/>
      <c r="G555" s="1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2">
        <f t="shared" si="63"/>
        <v>0</v>
      </c>
      <c r="AJ555" s="2">
        <f t="shared" si="64"/>
        <v>0</v>
      </c>
      <c r="AK555" s="2">
        <f t="shared" si="65"/>
        <v>0</v>
      </c>
      <c r="AL555" s="2">
        <f t="shared" si="60"/>
        <v>0</v>
      </c>
      <c r="AM555" s="2">
        <f t="shared" si="61"/>
        <v>0</v>
      </c>
      <c r="AN555" s="2">
        <f t="shared" si="62"/>
        <v>0</v>
      </c>
    </row>
    <row r="556" spans="1:40" x14ac:dyDescent="0.25">
      <c r="A556" s="56"/>
      <c r="B556" s="27"/>
      <c r="C556" s="9"/>
      <c r="D556" s="6"/>
      <c r="E556" s="1"/>
      <c r="F556" s="1"/>
      <c r="G556" s="1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2">
        <f t="shared" si="63"/>
        <v>0</v>
      </c>
      <c r="AJ556" s="2">
        <f t="shared" si="64"/>
        <v>0</v>
      </c>
      <c r="AK556" s="2">
        <f t="shared" si="65"/>
        <v>0</v>
      </c>
      <c r="AL556" s="2">
        <f t="shared" si="60"/>
        <v>0</v>
      </c>
      <c r="AM556" s="2">
        <f t="shared" si="61"/>
        <v>0</v>
      </c>
      <c r="AN556" s="2">
        <f t="shared" si="62"/>
        <v>0</v>
      </c>
    </row>
    <row r="557" spans="1:40" x14ac:dyDescent="0.25">
      <c r="A557" s="56"/>
      <c r="B557" s="27"/>
      <c r="C557" s="9"/>
      <c r="D557" s="6"/>
      <c r="E557" s="1"/>
      <c r="F557" s="1"/>
      <c r="G557" s="1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2">
        <f t="shared" si="63"/>
        <v>0</v>
      </c>
      <c r="AJ557" s="2">
        <f t="shared" si="64"/>
        <v>0</v>
      </c>
      <c r="AK557" s="2">
        <f t="shared" si="65"/>
        <v>0</v>
      </c>
      <c r="AL557" s="2">
        <f t="shared" si="60"/>
        <v>0</v>
      </c>
      <c r="AM557" s="2">
        <f t="shared" si="61"/>
        <v>0</v>
      </c>
      <c r="AN557" s="2">
        <f t="shared" si="62"/>
        <v>0</v>
      </c>
    </row>
    <row r="558" spans="1:40" x14ac:dyDescent="0.25">
      <c r="A558" s="56"/>
      <c r="B558" s="27"/>
      <c r="C558" s="9"/>
      <c r="D558" s="6"/>
      <c r="E558" s="1"/>
      <c r="F558" s="1"/>
      <c r="G558" s="1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2">
        <f t="shared" si="63"/>
        <v>0</v>
      </c>
      <c r="AJ558" s="2">
        <f t="shared" si="64"/>
        <v>0</v>
      </c>
      <c r="AK558" s="2">
        <f t="shared" si="65"/>
        <v>0</v>
      </c>
      <c r="AL558" s="2">
        <f t="shared" si="60"/>
        <v>0</v>
      </c>
      <c r="AM558" s="2">
        <f t="shared" si="61"/>
        <v>0</v>
      </c>
      <c r="AN558" s="2">
        <f t="shared" si="62"/>
        <v>0</v>
      </c>
    </row>
    <row r="559" spans="1:40" x14ac:dyDescent="0.25">
      <c r="A559" s="56"/>
      <c r="B559" s="27"/>
      <c r="C559" s="9"/>
      <c r="D559" s="6"/>
      <c r="E559" s="1"/>
      <c r="F559" s="1"/>
      <c r="G559" s="1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2">
        <f t="shared" si="63"/>
        <v>0</v>
      </c>
      <c r="AJ559" s="2">
        <f t="shared" si="64"/>
        <v>0</v>
      </c>
      <c r="AK559" s="2">
        <f t="shared" si="65"/>
        <v>0</v>
      </c>
      <c r="AL559" s="2">
        <f t="shared" si="60"/>
        <v>0</v>
      </c>
      <c r="AM559" s="2">
        <f t="shared" si="61"/>
        <v>0</v>
      </c>
      <c r="AN559" s="2">
        <f t="shared" si="62"/>
        <v>0</v>
      </c>
    </row>
    <row r="560" spans="1:40" x14ac:dyDescent="0.25">
      <c r="A560" s="56"/>
      <c r="B560" s="27"/>
      <c r="C560" s="9"/>
      <c r="D560" s="6"/>
      <c r="E560" s="1"/>
      <c r="F560" s="1"/>
      <c r="G560" s="1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2">
        <f t="shared" si="63"/>
        <v>0</v>
      </c>
      <c r="AJ560" s="2">
        <f t="shared" si="64"/>
        <v>0</v>
      </c>
      <c r="AK560" s="2">
        <f t="shared" si="65"/>
        <v>0</v>
      </c>
      <c r="AL560" s="2">
        <f t="shared" si="60"/>
        <v>0</v>
      </c>
      <c r="AM560" s="2">
        <f t="shared" si="61"/>
        <v>0</v>
      </c>
      <c r="AN560" s="2">
        <f t="shared" si="62"/>
        <v>0</v>
      </c>
    </row>
    <row r="561" spans="1:40" x14ac:dyDescent="0.25">
      <c r="A561" s="56"/>
      <c r="B561" s="27"/>
      <c r="C561" s="9"/>
      <c r="D561" s="6"/>
      <c r="E561" s="1"/>
      <c r="F561" s="1"/>
      <c r="G561" s="1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2">
        <f t="shared" si="63"/>
        <v>0</v>
      </c>
      <c r="AJ561" s="2">
        <f t="shared" si="64"/>
        <v>0</v>
      </c>
      <c r="AK561" s="2">
        <f t="shared" si="65"/>
        <v>0</v>
      </c>
      <c r="AL561" s="2">
        <f t="shared" si="60"/>
        <v>0</v>
      </c>
      <c r="AM561" s="2">
        <f t="shared" si="61"/>
        <v>0</v>
      </c>
      <c r="AN561" s="2">
        <f t="shared" si="62"/>
        <v>0</v>
      </c>
    </row>
    <row r="562" spans="1:40" x14ac:dyDescent="0.25">
      <c r="A562" s="56"/>
      <c r="B562" s="27"/>
      <c r="C562" s="9"/>
      <c r="D562" s="6"/>
      <c r="E562" s="1"/>
      <c r="F562" s="1"/>
      <c r="G562" s="1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2">
        <f t="shared" si="63"/>
        <v>0</v>
      </c>
      <c r="AJ562" s="2">
        <f t="shared" si="64"/>
        <v>0</v>
      </c>
      <c r="AK562" s="2">
        <f t="shared" si="65"/>
        <v>0</v>
      </c>
      <c r="AL562" s="2">
        <f t="shared" ref="AL562:AL625" si="66">SUM(AJ562-AK562)+(AI562-AJ562)</f>
        <v>0</v>
      </c>
      <c r="AM562" s="2">
        <f t="shared" ref="AM562:AM625" si="67">SUM(AJ562-AK562)</f>
        <v>0</v>
      </c>
      <c r="AN562" s="2">
        <f t="shared" ref="AN562:AN625" si="68">SUM(AI562-AJ562)</f>
        <v>0</v>
      </c>
    </row>
    <row r="563" spans="1:40" x14ac:dyDescent="0.25">
      <c r="A563" s="56"/>
      <c r="B563" s="27"/>
      <c r="C563" s="9"/>
      <c r="D563" s="6"/>
      <c r="E563" s="1"/>
      <c r="F563" s="1"/>
      <c r="G563" s="1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2">
        <f t="shared" si="63"/>
        <v>0</v>
      </c>
      <c r="AJ563" s="2">
        <f t="shared" si="64"/>
        <v>0</v>
      </c>
      <c r="AK563" s="2">
        <f t="shared" si="65"/>
        <v>0</v>
      </c>
      <c r="AL563" s="2">
        <f t="shared" si="66"/>
        <v>0</v>
      </c>
      <c r="AM563" s="2">
        <f t="shared" si="67"/>
        <v>0</v>
      </c>
      <c r="AN563" s="2">
        <f t="shared" si="68"/>
        <v>0</v>
      </c>
    </row>
    <row r="564" spans="1:40" x14ac:dyDescent="0.25">
      <c r="A564" s="56"/>
      <c r="B564" s="27"/>
      <c r="C564" s="9"/>
      <c r="D564" s="6"/>
      <c r="E564" s="1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2">
        <f t="shared" si="63"/>
        <v>0</v>
      </c>
      <c r="AJ564" s="2">
        <f t="shared" si="64"/>
        <v>0</v>
      </c>
      <c r="AK564" s="2">
        <f t="shared" si="65"/>
        <v>0</v>
      </c>
      <c r="AL564" s="2">
        <f t="shared" si="66"/>
        <v>0</v>
      </c>
      <c r="AM564" s="2">
        <f t="shared" si="67"/>
        <v>0</v>
      </c>
      <c r="AN564" s="2">
        <f t="shared" si="68"/>
        <v>0</v>
      </c>
    </row>
    <row r="565" spans="1:40" x14ac:dyDescent="0.25">
      <c r="A565" s="56"/>
      <c r="B565" s="27"/>
      <c r="C565" s="9"/>
      <c r="D565" s="6"/>
      <c r="E565" s="1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2">
        <f t="shared" si="63"/>
        <v>0</v>
      </c>
      <c r="AJ565" s="2">
        <f t="shared" si="64"/>
        <v>0</v>
      </c>
      <c r="AK565" s="2">
        <f t="shared" si="65"/>
        <v>0</v>
      </c>
      <c r="AL565" s="2">
        <f t="shared" si="66"/>
        <v>0</v>
      </c>
      <c r="AM565" s="2">
        <f t="shared" si="67"/>
        <v>0</v>
      </c>
      <c r="AN565" s="2">
        <f t="shared" si="68"/>
        <v>0</v>
      </c>
    </row>
    <row r="566" spans="1:40" x14ac:dyDescent="0.25">
      <c r="A566" s="16"/>
      <c r="B566" s="27"/>
      <c r="C566" s="9"/>
      <c r="D566" s="6"/>
      <c r="E566" s="1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2">
        <f t="shared" si="63"/>
        <v>0</v>
      </c>
      <c r="AJ566" s="2">
        <f t="shared" si="64"/>
        <v>0</v>
      </c>
      <c r="AK566" s="2">
        <f t="shared" si="65"/>
        <v>0</v>
      </c>
      <c r="AL566" s="2">
        <f t="shared" si="66"/>
        <v>0</v>
      </c>
      <c r="AM566" s="2">
        <f t="shared" si="67"/>
        <v>0</v>
      </c>
      <c r="AN566" s="2">
        <f t="shared" si="68"/>
        <v>0</v>
      </c>
    </row>
    <row r="567" spans="1:40" x14ac:dyDescent="0.25">
      <c r="A567" s="16"/>
      <c r="B567" s="27"/>
      <c r="C567" s="9"/>
      <c r="D567" s="6"/>
      <c r="E567" s="1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2">
        <f t="shared" si="63"/>
        <v>0</v>
      </c>
      <c r="AJ567" s="2">
        <f t="shared" si="64"/>
        <v>0</v>
      </c>
      <c r="AK567" s="2">
        <f t="shared" si="65"/>
        <v>0</v>
      </c>
      <c r="AL567" s="2">
        <f t="shared" si="66"/>
        <v>0</v>
      </c>
      <c r="AM567" s="2">
        <f t="shared" si="67"/>
        <v>0</v>
      </c>
      <c r="AN567" s="2">
        <f t="shared" si="68"/>
        <v>0</v>
      </c>
    </row>
    <row r="568" spans="1:40" x14ac:dyDescent="0.25">
      <c r="A568" s="16"/>
      <c r="B568" s="27"/>
      <c r="C568" s="9"/>
      <c r="D568" s="6"/>
      <c r="E568" s="1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2">
        <f t="shared" si="63"/>
        <v>0</v>
      </c>
      <c r="AJ568" s="2">
        <f t="shared" si="64"/>
        <v>0</v>
      </c>
      <c r="AK568" s="2">
        <f t="shared" si="65"/>
        <v>0</v>
      </c>
      <c r="AL568" s="2">
        <f t="shared" si="66"/>
        <v>0</v>
      </c>
      <c r="AM568" s="2">
        <f t="shared" si="67"/>
        <v>0</v>
      </c>
      <c r="AN568" s="2">
        <f t="shared" si="68"/>
        <v>0</v>
      </c>
    </row>
    <row r="569" spans="1:40" x14ac:dyDescent="0.25">
      <c r="A569" s="16"/>
      <c r="B569" s="27"/>
      <c r="C569" s="9"/>
      <c r="D569" s="6"/>
      <c r="E569" s="1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2">
        <f t="shared" si="63"/>
        <v>0</v>
      </c>
      <c r="AJ569" s="2">
        <f t="shared" si="64"/>
        <v>0</v>
      </c>
      <c r="AK569" s="2">
        <f t="shared" si="65"/>
        <v>0</v>
      </c>
      <c r="AL569" s="2">
        <f t="shared" si="66"/>
        <v>0</v>
      </c>
      <c r="AM569" s="2">
        <f t="shared" si="67"/>
        <v>0</v>
      </c>
      <c r="AN569" s="2">
        <f t="shared" si="68"/>
        <v>0</v>
      </c>
    </row>
    <row r="570" spans="1:40" x14ac:dyDescent="0.25">
      <c r="A570" s="16"/>
      <c r="B570" s="27"/>
      <c r="C570" s="9"/>
      <c r="D570" s="6"/>
      <c r="E570" s="1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2">
        <f t="shared" si="63"/>
        <v>0</v>
      </c>
      <c r="AJ570" s="2">
        <f t="shared" si="64"/>
        <v>0</v>
      </c>
      <c r="AK570" s="2">
        <f t="shared" si="65"/>
        <v>0</v>
      </c>
      <c r="AL570" s="2">
        <f t="shared" si="66"/>
        <v>0</v>
      </c>
      <c r="AM570" s="2">
        <f t="shared" si="67"/>
        <v>0</v>
      </c>
      <c r="AN570" s="2">
        <f t="shared" si="68"/>
        <v>0</v>
      </c>
    </row>
    <row r="571" spans="1:40" x14ac:dyDescent="0.25">
      <c r="A571" s="16"/>
      <c r="B571" s="27"/>
      <c r="C571" s="9"/>
      <c r="D571" s="6"/>
      <c r="E571" s="1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2">
        <f t="shared" si="63"/>
        <v>0</v>
      </c>
      <c r="AJ571" s="2">
        <f t="shared" si="64"/>
        <v>0</v>
      </c>
      <c r="AK571" s="2">
        <f t="shared" si="65"/>
        <v>0</v>
      </c>
      <c r="AL571" s="2">
        <f t="shared" si="66"/>
        <v>0</v>
      </c>
      <c r="AM571" s="2">
        <f t="shared" si="67"/>
        <v>0</v>
      </c>
      <c r="AN571" s="2">
        <f t="shared" si="68"/>
        <v>0</v>
      </c>
    </row>
    <row r="572" spans="1:40" x14ac:dyDescent="0.25">
      <c r="A572" s="16"/>
      <c r="B572" s="27"/>
      <c r="C572" s="9"/>
      <c r="D572" s="6"/>
      <c r="E572" s="1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2">
        <f t="shared" si="63"/>
        <v>0</v>
      </c>
      <c r="AJ572" s="2">
        <f t="shared" si="64"/>
        <v>0</v>
      </c>
      <c r="AK572" s="2">
        <f t="shared" si="65"/>
        <v>0</v>
      </c>
      <c r="AL572" s="2">
        <f t="shared" si="66"/>
        <v>0</v>
      </c>
      <c r="AM572" s="2">
        <f t="shared" si="67"/>
        <v>0</v>
      </c>
      <c r="AN572" s="2">
        <f t="shared" si="68"/>
        <v>0</v>
      </c>
    </row>
    <row r="573" spans="1:40" x14ac:dyDescent="0.25">
      <c r="A573" s="16"/>
      <c r="B573" s="27"/>
      <c r="C573" s="9"/>
      <c r="D573" s="6"/>
      <c r="E573" s="1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2">
        <f t="shared" si="63"/>
        <v>0</v>
      </c>
      <c r="AJ573" s="2">
        <f t="shared" si="64"/>
        <v>0</v>
      </c>
      <c r="AK573" s="2">
        <f t="shared" si="65"/>
        <v>0</v>
      </c>
      <c r="AL573" s="2">
        <f t="shared" si="66"/>
        <v>0</v>
      </c>
      <c r="AM573" s="2">
        <f t="shared" si="67"/>
        <v>0</v>
      </c>
      <c r="AN573" s="2">
        <f t="shared" si="68"/>
        <v>0</v>
      </c>
    </row>
    <row r="574" spans="1:40" x14ac:dyDescent="0.25">
      <c r="A574" s="16"/>
      <c r="B574" s="27"/>
      <c r="C574" s="9"/>
      <c r="D574" s="6"/>
      <c r="E574" s="1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2">
        <f t="shared" si="63"/>
        <v>0</v>
      </c>
      <c r="AJ574" s="2">
        <f t="shared" si="64"/>
        <v>0</v>
      </c>
      <c r="AK574" s="2">
        <f t="shared" si="65"/>
        <v>0</v>
      </c>
      <c r="AL574" s="2">
        <f t="shared" si="66"/>
        <v>0</v>
      </c>
      <c r="AM574" s="2">
        <f t="shared" si="67"/>
        <v>0</v>
      </c>
      <c r="AN574" s="2">
        <f t="shared" si="68"/>
        <v>0</v>
      </c>
    </row>
    <row r="575" spans="1:40" x14ac:dyDescent="0.25">
      <c r="A575" s="16"/>
      <c r="B575" s="27"/>
      <c r="C575" s="9"/>
      <c r="D575" s="6"/>
      <c r="E575" s="1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2">
        <f t="shared" si="63"/>
        <v>0</v>
      </c>
      <c r="AJ575" s="2">
        <f t="shared" si="64"/>
        <v>0</v>
      </c>
      <c r="AK575" s="2">
        <f t="shared" si="65"/>
        <v>0</v>
      </c>
      <c r="AL575" s="2">
        <f t="shared" si="66"/>
        <v>0</v>
      </c>
      <c r="AM575" s="2">
        <f t="shared" si="67"/>
        <v>0</v>
      </c>
      <c r="AN575" s="2">
        <f t="shared" si="68"/>
        <v>0</v>
      </c>
    </row>
    <row r="576" spans="1:40" x14ac:dyDescent="0.25">
      <c r="A576" s="16"/>
      <c r="B576" s="27"/>
      <c r="C576" s="9"/>
      <c r="D576" s="6"/>
      <c r="E576" s="1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2">
        <f t="shared" si="63"/>
        <v>0</v>
      </c>
      <c r="AJ576" s="2">
        <f t="shared" si="64"/>
        <v>0</v>
      </c>
      <c r="AK576" s="2">
        <f t="shared" si="65"/>
        <v>0</v>
      </c>
      <c r="AL576" s="2">
        <f t="shared" si="66"/>
        <v>0</v>
      </c>
      <c r="AM576" s="2">
        <f t="shared" si="67"/>
        <v>0</v>
      </c>
      <c r="AN576" s="2">
        <f t="shared" si="68"/>
        <v>0</v>
      </c>
    </row>
    <row r="577" spans="1:40" x14ac:dyDescent="0.25">
      <c r="A577" s="16"/>
      <c r="B577" s="27"/>
      <c r="C577" s="9"/>
      <c r="D577" s="6"/>
      <c r="E577" s="1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2">
        <f t="shared" si="63"/>
        <v>0</v>
      </c>
      <c r="AJ577" s="2">
        <f t="shared" si="64"/>
        <v>0</v>
      </c>
      <c r="AK577" s="2">
        <f t="shared" si="65"/>
        <v>0</v>
      </c>
      <c r="AL577" s="2">
        <f t="shared" si="66"/>
        <v>0</v>
      </c>
      <c r="AM577" s="2">
        <f t="shared" si="67"/>
        <v>0</v>
      </c>
      <c r="AN577" s="2">
        <f t="shared" si="68"/>
        <v>0</v>
      </c>
    </row>
    <row r="578" spans="1:40" x14ac:dyDescent="0.25">
      <c r="A578" s="16"/>
      <c r="B578" s="27"/>
      <c r="C578" s="9"/>
      <c r="D578" s="6"/>
      <c r="E578" s="1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2">
        <f t="shared" si="63"/>
        <v>0</v>
      </c>
      <c r="AJ578" s="2">
        <f t="shared" si="64"/>
        <v>0</v>
      </c>
      <c r="AK578" s="2">
        <f t="shared" si="65"/>
        <v>0</v>
      </c>
      <c r="AL578" s="2">
        <f t="shared" si="66"/>
        <v>0</v>
      </c>
      <c r="AM578" s="2">
        <f t="shared" si="67"/>
        <v>0</v>
      </c>
      <c r="AN578" s="2">
        <f t="shared" si="68"/>
        <v>0</v>
      </c>
    </row>
    <row r="579" spans="1:40" x14ac:dyDescent="0.25">
      <c r="A579" s="16"/>
      <c r="B579" s="27"/>
      <c r="C579" s="9"/>
      <c r="D579" s="6"/>
      <c r="E579" s="1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2">
        <f t="shared" si="63"/>
        <v>0</v>
      </c>
      <c r="AJ579" s="2">
        <f t="shared" si="64"/>
        <v>0</v>
      </c>
      <c r="AK579" s="2">
        <f t="shared" si="65"/>
        <v>0</v>
      </c>
      <c r="AL579" s="2">
        <f t="shared" si="66"/>
        <v>0</v>
      </c>
      <c r="AM579" s="2">
        <f t="shared" si="67"/>
        <v>0</v>
      </c>
      <c r="AN579" s="2">
        <f t="shared" si="68"/>
        <v>0</v>
      </c>
    </row>
    <row r="580" spans="1:40" x14ac:dyDescent="0.25">
      <c r="A580" s="16"/>
      <c r="B580" s="27"/>
      <c r="C580" s="9"/>
      <c r="D580" s="6"/>
      <c r="E580" s="1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2">
        <f t="shared" si="63"/>
        <v>0</v>
      </c>
      <c r="AJ580" s="2">
        <f t="shared" si="64"/>
        <v>0</v>
      </c>
      <c r="AK580" s="2">
        <f t="shared" si="65"/>
        <v>0</v>
      </c>
      <c r="AL580" s="2">
        <f t="shared" si="66"/>
        <v>0</v>
      </c>
      <c r="AM580" s="2">
        <f t="shared" si="67"/>
        <v>0</v>
      </c>
      <c r="AN580" s="2">
        <f t="shared" si="68"/>
        <v>0</v>
      </c>
    </row>
    <row r="581" spans="1:40" x14ac:dyDescent="0.25">
      <c r="A581" s="16"/>
      <c r="B581" s="27"/>
      <c r="C581" s="9"/>
      <c r="D581" s="6"/>
      <c r="E581" s="1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2">
        <f t="shared" si="63"/>
        <v>0</v>
      </c>
      <c r="AJ581" s="2">
        <f t="shared" si="64"/>
        <v>0</v>
      </c>
      <c r="AK581" s="2">
        <f t="shared" si="65"/>
        <v>0</v>
      </c>
      <c r="AL581" s="2">
        <f t="shared" si="66"/>
        <v>0</v>
      </c>
      <c r="AM581" s="2">
        <f t="shared" si="67"/>
        <v>0</v>
      </c>
      <c r="AN581" s="2">
        <f t="shared" si="68"/>
        <v>0</v>
      </c>
    </row>
    <row r="582" spans="1:40" x14ac:dyDescent="0.25">
      <c r="A582" s="16"/>
      <c r="B582" s="27"/>
      <c r="C582" s="9"/>
      <c r="D582" s="6"/>
      <c r="E582" s="1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2">
        <f t="shared" si="63"/>
        <v>0</v>
      </c>
      <c r="AJ582" s="2">
        <f t="shared" si="64"/>
        <v>0</v>
      </c>
      <c r="AK582" s="2">
        <f t="shared" si="65"/>
        <v>0</v>
      </c>
      <c r="AL582" s="2">
        <f t="shared" si="66"/>
        <v>0</v>
      </c>
      <c r="AM582" s="2">
        <f t="shared" si="67"/>
        <v>0</v>
      </c>
      <c r="AN582" s="2">
        <f t="shared" si="68"/>
        <v>0</v>
      </c>
    </row>
    <row r="583" spans="1:40" x14ac:dyDescent="0.25">
      <c r="A583" s="16"/>
      <c r="B583" s="27"/>
      <c r="C583" s="9"/>
      <c r="D583" s="6"/>
      <c r="E583" s="1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2">
        <f t="shared" si="63"/>
        <v>0</v>
      </c>
      <c r="AJ583" s="2">
        <f t="shared" si="64"/>
        <v>0</v>
      </c>
      <c r="AK583" s="2">
        <f t="shared" si="65"/>
        <v>0</v>
      </c>
      <c r="AL583" s="2">
        <f t="shared" si="66"/>
        <v>0</v>
      </c>
      <c r="AM583" s="2">
        <f t="shared" si="67"/>
        <v>0</v>
      </c>
      <c r="AN583" s="2">
        <f t="shared" si="68"/>
        <v>0</v>
      </c>
    </row>
    <row r="584" spans="1:40" x14ac:dyDescent="0.25">
      <c r="A584" s="16"/>
      <c r="B584" s="27"/>
      <c r="C584" s="9"/>
      <c r="D584" s="6"/>
      <c r="E584" s="1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2">
        <f t="shared" ref="AI584:AI647" si="69">H584-AG584+AH584</f>
        <v>0</v>
      </c>
      <c r="AJ584" s="2">
        <f t="shared" ref="AJ584:AJ647" si="70">SUM(I584:T584)</f>
        <v>0</v>
      </c>
      <c r="AK584" s="2">
        <f t="shared" ref="AK584:AK647" si="71">SUM(U584:AF584)</f>
        <v>0</v>
      </c>
      <c r="AL584" s="2">
        <f t="shared" si="66"/>
        <v>0</v>
      </c>
      <c r="AM584" s="2">
        <f t="shared" si="67"/>
        <v>0</v>
      </c>
      <c r="AN584" s="2">
        <f t="shared" si="68"/>
        <v>0</v>
      </c>
    </row>
    <row r="585" spans="1:40" x14ac:dyDescent="0.25">
      <c r="A585" s="16"/>
      <c r="B585" s="27"/>
      <c r="C585" s="9"/>
      <c r="D585" s="6"/>
      <c r="E585" s="1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2">
        <f t="shared" si="69"/>
        <v>0</v>
      </c>
      <c r="AJ585" s="2">
        <f t="shared" si="70"/>
        <v>0</v>
      </c>
      <c r="AK585" s="2">
        <f t="shared" si="71"/>
        <v>0</v>
      </c>
      <c r="AL585" s="2">
        <f t="shared" si="66"/>
        <v>0</v>
      </c>
      <c r="AM585" s="2">
        <f t="shared" si="67"/>
        <v>0</v>
      </c>
      <c r="AN585" s="2">
        <f t="shared" si="68"/>
        <v>0</v>
      </c>
    </row>
    <row r="586" spans="1:40" x14ac:dyDescent="0.25">
      <c r="A586" s="16"/>
      <c r="B586" s="27"/>
      <c r="C586" s="9"/>
      <c r="D586" s="6"/>
      <c r="E586" s="1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2">
        <f t="shared" si="69"/>
        <v>0</v>
      </c>
      <c r="AJ586" s="2">
        <f t="shared" si="70"/>
        <v>0</v>
      </c>
      <c r="AK586" s="2">
        <f t="shared" si="71"/>
        <v>0</v>
      </c>
      <c r="AL586" s="2">
        <f t="shared" si="66"/>
        <v>0</v>
      </c>
      <c r="AM586" s="2">
        <f t="shared" si="67"/>
        <v>0</v>
      </c>
      <c r="AN586" s="2">
        <f t="shared" si="68"/>
        <v>0</v>
      </c>
    </row>
    <row r="587" spans="1:40" x14ac:dyDescent="0.25">
      <c r="A587" s="16"/>
      <c r="B587" s="27"/>
      <c r="C587" s="9"/>
      <c r="D587" s="6"/>
      <c r="E587" s="1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2">
        <f t="shared" si="69"/>
        <v>0</v>
      </c>
      <c r="AJ587" s="2">
        <f t="shared" si="70"/>
        <v>0</v>
      </c>
      <c r="AK587" s="2">
        <f t="shared" si="71"/>
        <v>0</v>
      </c>
      <c r="AL587" s="2">
        <f t="shared" si="66"/>
        <v>0</v>
      </c>
      <c r="AM587" s="2">
        <f t="shared" si="67"/>
        <v>0</v>
      </c>
      <c r="AN587" s="2">
        <f t="shared" si="68"/>
        <v>0</v>
      </c>
    </row>
    <row r="588" spans="1:40" x14ac:dyDescent="0.25">
      <c r="A588" s="16"/>
      <c r="B588" s="27"/>
      <c r="C588" s="9"/>
      <c r="D588" s="6"/>
      <c r="E588" s="1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2">
        <f t="shared" si="69"/>
        <v>0</v>
      </c>
      <c r="AJ588" s="2">
        <f t="shared" si="70"/>
        <v>0</v>
      </c>
      <c r="AK588" s="2">
        <f t="shared" si="71"/>
        <v>0</v>
      </c>
      <c r="AL588" s="2">
        <f t="shared" si="66"/>
        <v>0</v>
      </c>
      <c r="AM588" s="2">
        <f t="shared" si="67"/>
        <v>0</v>
      </c>
      <c r="AN588" s="2">
        <f t="shared" si="68"/>
        <v>0</v>
      </c>
    </row>
    <row r="589" spans="1:40" x14ac:dyDescent="0.25">
      <c r="A589" s="16"/>
      <c r="B589" s="27"/>
      <c r="C589" s="9"/>
      <c r="D589" s="6"/>
      <c r="E589" s="1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2">
        <f t="shared" si="69"/>
        <v>0</v>
      </c>
      <c r="AJ589" s="2">
        <f t="shared" si="70"/>
        <v>0</v>
      </c>
      <c r="AK589" s="2">
        <f t="shared" si="71"/>
        <v>0</v>
      </c>
      <c r="AL589" s="2">
        <f t="shared" si="66"/>
        <v>0</v>
      </c>
      <c r="AM589" s="2">
        <f t="shared" si="67"/>
        <v>0</v>
      </c>
      <c r="AN589" s="2">
        <f t="shared" si="68"/>
        <v>0</v>
      </c>
    </row>
    <row r="590" spans="1:40" x14ac:dyDescent="0.25">
      <c r="A590" s="16"/>
      <c r="B590" s="27"/>
      <c r="C590" s="9"/>
      <c r="D590" s="6"/>
      <c r="E590" s="1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2">
        <f t="shared" si="69"/>
        <v>0</v>
      </c>
      <c r="AJ590" s="2">
        <f t="shared" si="70"/>
        <v>0</v>
      </c>
      <c r="AK590" s="2">
        <f t="shared" si="71"/>
        <v>0</v>
      </c>
      <c r="AL590" s="2">
        <f t="shared" si="66"/>
        <v>0</v>
      </c>
      <c r="AM590" s="2">
        <f t="shared" si="67"/>
        <v>0</v>
      </c>
      <c r="AN590" s="2">
        <f t="shared" si="68"/>
        <v>0</v>
      </c>
    </row>
    <row r="591" spans="1:40" x14ac:dyDescent="0.25">
      <c r="A591" s="16"/>
      <c r="B591" s="27"/>
      <c r="C591" s="9"/>
      <c r="D591" s="6"/>
      <c r="E591" s="1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2">
        <f t="shared" si="69"/>
        <v>0</v>
      </c>
      <c r="AJ591" s="2">
        <f t="shared" si="70"/>
        <v>0</v>
      </c>
      <c r="AK591" s="2">
        <f t="shared" si="71"/>
        <v>0</v>
      </c>
      <c r="AL591" s="2">
        <f t="shared" si="66"/>
        <v>0</v>
      </c>
      <c r="AM591" s="2">
        <f t="shared" si="67"/>
        <v>0</v>
      </c>
      <c r="AN591" s="2">
        <f t="shared" si="68"/>
        <v>0</v>
      </c>
    </row>
    <row r="592" spans="1:40" x14ac:dyDescent="0.25">
      <c r="A592" s="16"/>
      <c r="B592" s="27"/>
      <c r="C592" s="9"/>
      <c r="D592" s="6"/>
      <c r="E592" s="1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2">
        <f t="shared" si="69"/>
        <v>0</v>
      </c>
      <c r="AJ592" s="2">
        <f t="shared" si="70"/>
        <v>0</v>
      </c>
      <c r="AK592" s="2">
        <f t="shared" si="71"/>
        <v>0</v>
      </c>
      <c r="AL592" s="2">
        <f t="shared" si="66"/>
        <v>0</v>
      </c>
      <c r="AM592" s="2">
        <f t="shared" si="67"/>
        <v>0</v>
      </c>
      <c r="AN592" s="2">
        <f t="shared" si="68"/>
        <v>0</v>
      </c>
    </row>
    <row r="593" spans="1:40" x14ac:dyDescent="0.25">
      <c r="A593" s="16"/>
      <c r="B593" s="27"/>
      <c r="C593" s="9"/>
      <c r="D593" s="6"/>
      <c r="E593" s="1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2">
        <f t="shared" si="69"/>
        <v>0</v>
      </c>
      <c r="AJ593" s="2">
        <f t="shared" si="70"/>
        <v>0</v>
      </c>
      <c r="AK593" s="2">
        <f t="shared" si="71"/>
        <v>0</v>
      </c>
      <c r="AL593" s="2">
        <f t="shared" si="66"/>
        <v>0</v>
      </c>
      <c r="AM593" s="2">
        <f t="shared" si="67"/>
        <v>0</v>
      </c>
      <c r="AN593" s="2">
        <f t="shared" si="68"/>
        <v>0</v>
      </c>
    </row>
    <row r="594" spans="1:40" x14ac:dyDescent="0.25">
      <c r="A594" s="16"/>
      <c r="B594" s="27"/>
      <c r="C594" s="9"/>
      <c r="D594" s="6"/>
      <c r="E594" s="1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2">
        <f t="shared" si="69"/>
        <v>0</v>
      </c>
      <c r="AJ594" s="2">
        <f t="shared" si="70"/>
        <v>0</v>
      </c>
      <c r="AK594" s="2">
        <f t="shared" si="71"/>
        <v>0</v>
      </c>
      <c r="AL594" s="2">
        <f t="shared" si="66"/>
        <v>0</v>
      </c>
      <c r="AM594" s="2">
        <f t="shared" si="67"/>
        <v>0</v>
      </c>
      <c r="AN594" s="2">
        <f t="shared" si="68"/>
        <v>0</v>
      </c>
    </row>
    <row r="595" spans="1:40" x14ac:dyDescent="0.25">
      <c r="A595" s="16"/>
      <c r="B595" s="27"/>
      <c r="C595" s="9"/>
      <c r="D595" s="6"/>
      <c r="E595" s="1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2">
        <f t="shared" si="69"/>
        <v>0</v>
      </c>
      <c r="AJ595" s="2">
        <f t="shared" si="70"/>
        <v>0</v>
      </c>
      <c r="AK595" s="2">
        <f t="shared" si="71"/>
        <v>0</v>
      </c>
      <c r="AL595" s="2">
        <f t="shared" si="66"/>
        <v>0</v>
      </c>
      <c r="AM595" s="2">
        <f t="shared" si="67"/>
        <v>0</v>
      </c>
      <c r="AN595" s="2">
        <f t="shared" si="68"/>
        <v>0</v>
      </c>
    </row>
    <row r="596" spans="1:40" x14ac:dyDescent="0.25">
      <c r="A596" s="16"/>
      <c r="B596" s="27"/>
      <c r="C596" s="9"/>
      <c r="D596" s="6"/>
      <c r="E596" s="1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2">
        <f t="shared" si="69"/>
        <v>0</v>
      </c>
      <c r="AJ596" s="2">
        <f t="shared" si="70"/>
        <v>0</v>
      </c>
      <c r="AK596" s="2">
        <f t="shared" si="71"/>
        <v>0</v>
      </c>
      <c r="AL596" s="2">
        <f t="shared" si="66"/>
        <v>0</v>
      </c>
      <c r="AM596" s="2">
        <f t="shared" si="67"/>
        <v>0</v>
      </c>
      <c r="AN596" s="2">
        <f t="shared" si="68"/>
        <v>0</v>
      </c>
    </row>
    <row r="597" spans="1:40" x14ac:dyDescent="0.25">
      <c r="A597" s="16"/>
      <c r="B597" s="27"/>
      <c r="C597" s="9"/>
      <c r="D597" s="6"/>
      <c r="E597" s="1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2">
        <f t="shared" si="69"/>
        <v>0</v>
      </c>
      <c r="AJ597" s="2">
        <f t="shared" si="70"/>
        <v>0</v>
      </c>
      <c r="AK597" s="2">
        <f t="shared" si="71"/>
        <v>0</v>
      </c>
      <c r="AL597" s="2">
        <f t="shared" si="66"/>
        <v>0</v>
      </c>
      <c r="AM597" s="2">
        <f t="shared" si="67"/>
        <v>0</v>
      </c>
      <c r="AN597" s="2">
        <f t="shared" si="68"/>
        <v>0</v>
      </c>
    </row>
    <row r="598" spans="1:40" x14ac:dyDescent="0.25">
      <c r="A598" s="16"/>
      <c r="B598" s="27"/>
      <c r="C598" s="9"/>
      <c r="D598" s="6"/>
      <c r="E598" s="1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2">
        <f t="shared" si="69"/>
        <v>0</v>
      </c>
      <c r="AJ598" s="2">
        <f t="shared" si="70"/>
        <v>0</v>
      </c>
      <c r="AK598" s="2">
        <f t="shared" si="71"/>
        <v>0</v>
      </c>
      <c r="AL598" s="2">
        <f t="shared" si="66"/>
        <v>0</v>
      </c>
      <c r="AM598" s="2">
        <f t="shared" si="67"/>
        <v>0</v>
      </c>
      <c r="AN598" s="2">
        <f t="shared" si="68"/>
        <v>0</v>
      </c>
    </row>
    <row r="599" spans="1:40" x14ac:dyDescent="0.25">
      <c r="A599" s="16"/>
      <c r="B599" s="27"/>
      <c r="C599" s="9"/>
      <c r="D599" s="6"/>
      <c r="E599" s="1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2">
        <f t="shared" si="69"/>
        <v>0</v>
      </c>
      <c r="AJ599" s="2">
        <f t="shared" si="70"/>
        <v>0</v>
      </c>
      <c r="AK599" s="2">
        <f t="shared" si="71"/>
        <v>0</v>
      </c>
      <c r="AL599" s="2">
        <f t="shared" si="66"/>
        <v>0</v>
      </c>
      <c r="AM599" s="2">
        <f t="shared" si="67"/>
        <v>0</v>
      </c>
      <c r="AN599" s="2">
        <f t="shared" si="68"/>
        <v>0</v>
      </c>
    </row>
    <row r="600" spans="1:40" x14ac:dyDescent="0.25">
      <c r="A600" s="16"/>
      <c r="B600" s="27"/>
      <c r="C600" s="9"/>
      <c r="D600" s="6"/>
      <c r="E600" s="1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2">
        <f t="shared" si="69"/>
        <v>0</v>
      </c>
      <c r="AJ600" s="2">
        <f t="shared" si="70"/>
        <v>0</v>
      </c>
      <c r="AK600" s="2">
        <f t="shared" si="71"/>
        <v>0</v>
      </c>
      <c r="AL600" s="2">
        <f t="shared" si="66"/>
        <v>0</v>
      </c>
      <c r="AM600" s="2">
        <f t="shared" si="67"/>
        <v>0</v>
      </c>
      <c r="AN600" s="2">
        <f t="shared" si="68"/>
        <v>0</v>
      </c>
    </row>
    <row r="601" spans="1:40" x14ac:dyDescent="0.25">
      <c r="A601" s="16"/>
      <c r="B601" s="27"/>
      <c r="C601" s="9"/>
      <c r="D601" s="6"/>
      <c r="E601" s="1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2">
        <f t="shared" si="69"/>
        <v>0</v>
      </c>
      <c r="AJ601" s="2">
        <f t="shared" si="70"/>
        <v>0</v>
      </c>
      <c r="AK601" s="2">
        <f t="shared" si="71"/>
        <v>0</v>
      </c>
      <c r="AL601" s="2">
        <f t="shared" si="66"/>
        <v>0</v>
      </c>
      <c r="AM601" s="2">
        <f t="shared" si="67"/>
        <v>0</v>
      </c>
      <c r="AN601" s="2">
        <f t="shared" si="68"/>
        <v>0</v>
      </c>
    </row>
    <row r="602" spans="1:40" x14ac:dyDescent="0.25">
      <c r="A602" s="16"/>
      <c r="B602" s="27"/>
      <c r="C602" s="9"/>
      <c r="D602" s="6"/>
      <c r="E602" s="1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2">
        <f t="shared" si="69"/>
        <v>0</v>
      </c>
      <c r="AJ602" s="2">
        <f t="shared" si="70"/>
        <v>0</v>
      </c>
      <c r="AK602" s="2">
        <f t="shared" si="71"/>
        <v>0</v>
      </c>
      <c r="AL602" s="2">
        <f t="shared" si="66"/>
        <v>0</v>
      </c>
      <c r="AM602" s="2">
        <f t="shared" si="67"/>
        <v>0</v>
      </c>
      <c r="AN602" s="2">
        <f t="shared" si="68"/>
        <v>0</v>
      </c>
    </row>
    <row r="603" spans="1:40" x14ac:dyDescent="0.25">
      <c r="A603" s="16"/>
      <c r="B603" s="27"/>
      <c r="C603" s="9"/>
      <c r="D603" s="6"/>
      <c r="E603" s="1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2">
        <f t="shared" si="69"/>
        <v>0</v>
      </c>
      <c r="AJ603" s="2">
        <f t="shared" si="70"/>
        <v>0</v>
      </c>
      <c r="AK603" s="2">
        <f t="shared" si="71"/>
        <v>0</v>
      </c>
      <c r="AL603" s="2">
        <f t="shared" si="66"/>
        <v>0</v>
      </c>
      <c r="AM603" s="2">
        <f t="shared" si="67"/>
        <v>0</v>
      </c>
      <c r="AN603" s="2">
        <f t="shared" si="68"/>
        <v>0</v>
      </c>
    </row>
    <row r="604" spans="1:40" x14ac:dyDescent="0.25">
      <c r="A604" s="16"/>
      <c r="B604" s="27"/>
      <c r="C604" s="9"/>
      <c r="D604" s="6"/>
      <c r="E604" s="1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2">
        <f t="shared" si="69"/>
        <v>0</v>
      </c>
      <c r="AJ604" s="2">
        <f t="shared" si="70"/>
        <v>0</v>
      </c>
      <c r="AK604" s="2">
        <f t="shared" si="71"/>
        <v>0</v>
      </c>
      <c r="AL604" s="2">
        <f t="shared" si="66"/>
        <v>0</v>
      </c>
      <c r="AM604" s="2">
        <f t="shared" si="67"/>
        <v>0</v>
      </c>
      <c r="AN604" s="2">
        <f t="shared" si="68"/>
        <v>0</v>
      </c>
    </row>
    <row r="605" spans="1:40" x14ac:dyDescent="0.25">
      <c r="A605" s="16"/>
      <c r="B605" s="27"/>
      <c r="C605" s="9"/>
      <c r="D605" s="6"/>
      <c r="E605" s="1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2">
        <f t="shared" si="69"/>
        <v>0</v>
      </c>
      <c r="AJ605" s="2">
        <f t="shared" si="70"/>
        <v>0</v>
      </c>
      <c r="AK605" s="2">
        <f t="shared" si="71"/>
        <v>0</v>
      </c>
      <c r="AL605" s="2">
        <f t="shared" si="66"/>
        <v>0</v>
      </c>
      <c r="AM605" s="2">
        <f t="shared" si="67"/>
        <v>0</v>
      </c>
      <c r="AN605" s="2">
        <f t="shared" si="68"/>
        <v>0</v>
      </c>
    </row>
    <row r="606" spans="1:40" x14ac:dyDescent="0.25">
      <c r="A606" s="16"/>
      <c r="B606" s="27"/>
      <c r="C606" s="9"/>
      <c r="D606" s="6"/>
      <c r="E606" s="1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2">
        <f t="shared" si="69"/>
        <v>0</v>
      </c>
      <c r="AJ606" s="2">
        <f t="shared" si="70"/>
        <v>0</v>
      </c>
      <c r="AK606" s="2">
        <f t="shared" si="71"/>
        <v>0</v>
      </c>
      <c r="AL606" s="2">
        <f t="shared" si="66"/>
        <v>0</v>
      </c>
      <c r="AM606" s="2">
        <f t="shared" si="67"/>
        <v>0</v>
      </c>
      <c r="AN606" s="2">
        <f t="shared" si="68"/>
        <v>0</v>
      </c>
    </row>
    <row r="607" spans="1:40" x14ac:dyDescent="0.25">
      <c r="A607" s="16"/>
      <c r="B607" s="27"/>
      <c r="C607" s="9"/>
      <c r="D607" s="6"/>
      <c r="E607" s="1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2">
        <f t="shared" si="69"/>
        <v>0</v>
      </c>
      <c r="AJ607" s="2">
        <f t="shared" si="70"/>
        <v>0</v>
      </c>
      <c r="AK607" s="2">
        <f t="shared" si="71"/>
        <v>0</v>
      </c>
      <c r="AL607" s="2">
        <f t="shared" si="66"/>
        <v>0</v>
      </c>
      <c r="AM607" s="2">
        <f t="shared" si="67"/>
        <v>0</v>
      </c>
      <c r="AN607" s="2">
        <f t="shared" si="68"/>
        <v>0</v>
      </c>
    </row>
    <row r="608" spans="1:40" x14ac:dyDescent="0.25">
      <c r="A608" s="16"/>
      <c r="B608" s="27"/>
      <c r="C608" s="9"/>
      <c r="D608" s="6"/>
      <c r="E608" s="1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2">
        <f t="shared" si="69"/>
        <v>0</v>
      </c>
      <c r="AJ608" s="2">
        <f t="shared" si="70"/>
        <v>0</v>
      </c>
      <c r="AK608" s="2">
        <f t="shared" si="71"/>
        <v>0</v>
      </c>
      <c r="AL608" s="2">
        <f t="shared" si="66"/>
        <v>0</v>
      </c>
      <c r="AM608" s="2">
        <f t="shared" si="67"/>
        <v>0</v>
      </c>
      <c r="AN608" s="2">
        <f t="shared" si="68"/>
        <v>0</v>
      </c>
    </row>
    <row r="609" spans="1:40" x14ac:dyDescent="0.25">
      <c r="A609" s="16"/>
      <c r="B609" s="27"/>
      <c r="C609" s="9"/>
      <c r="D609" s="6"/>
      <c r="E609" s="1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2">
        <f t="shared" si="69"/>
        <v>0</v>
      </c>
      <c r="AJ609" s="2">
        <f t="shared" si="70"/>
        <v>0</v>
      </c>
      <c r="AK609" s="2">
        <f t="shared" si="71"/>
        <v>0</v>
      </c>
      <c r="AL609" s="2">
        <f t="shared" si="66"/>
        <v>0</v>
      </c>
      <c r="AM609" s="2">
        <f t="shared" si="67"/>
        <v>0</v>
      </c>
      <c r="AN609" s="2">
        <f t="shared" si="68"/>
        <v>0</v>
      </c>
    </row>
    <row r="610" spans="1:40" x14ac:dyDescent="0.25">
      <c r="A610" s="16"/>
      <c r="B610" s="27"/>
      <c r="C610" s="9"/>
      <c r="D610" s="6"/>
      <c r="E610" s="1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2">
        <f t="shared" si="69"/>
        <v>0</v>
      </c>
      <c r="AJ610" s="2">
        <f t="shared" si="70"/>
        <v>0</v>
      </c>
      <c r="AK610" s="2">
        <f t="shared" si="71"/>
        <v>0</v>
      </c>
      <c r="AL610" s="2">
        <f t="shared" si="66"/>
        <v>0</v>
      </c>
      <c r="AM610" s="2">
        <f t="shared" si="67"/>
        <v>0</v>
      </c>
      <c r="AN610" s="2">
        <f t="shared" si="68"/>
        <v>0</v>
      </c>
    </row>
    <row r="611" spans="1:40" x14ac:dyDescent="0.25">
      <c r="A611" s="16"/>
      <c r="B611" s="27"/>
      <c r="C611" s="9"/>
      <c r="D611" s="6"/>
      <c r="E611" s="1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2">
        <f t="shared" si="69"/>
        <v>0</v>
      </c>
      <c r="AJ611" s="2">
        <f t="shared" si="70"/>
        <v>0</v>
      </c>
      <c r="AK611" s="2">
        <f t="shared" si="71"/>
        <v>0</v>
      </c>
      <c r="AL611" s="2">
        <f t="shared" si="66"/>
        <v>0</v>
      </c>
      <c r="AM611" s="2">
        <f t="shared" si="67"/>
        <v>0</v>
      </c>
      <c r="AN611" s="2">
        <f t="shared" si="68"/>
        <v>0</v>
      </c>
    </row>
    <row r="612" spans="1:40" x14ac:dyDescent="0.25">
      <c r="A612" s="16"/>
      <c r="B612" s="27"/>
      <c r="C612" s="9"/>
      <c r="D612" s="6"/>
      <c r="E612" s="1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2">
        <f t="shared" si="69"/>
        <v>0</v>
      </c>
      <c r="AJ612" s="2">
        <f t="shared" si="70"/>
        <v>0</v>
      </c>
      <c r="AK612" s="2">
        <f t="shared" si="71"/>
        <v>0</v>
      </c>
      <c r="AL612" s="2">
        <f t="shared" si="66"/>
        <v>0</v>
      </c>
      <c r="AM612" s="2">
        <f t="shared" si="67"/>
        <v>0</v>
      </c>
      <c r="AN612" s="2">
        <f t="shared" si="68"/>
        <v>0</v>
      </c>
    </row>
    <row r="613" spans="1:40" x14ac:dyDescent="0.25">
      <c r="A613" s="16"/>
      <c r="B613" s="27"/>
      <c r="C613" s="9"/>
      <c r="D613" s="6"/>
      <c r="E613" s="1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2">
        <f t="shared" si="69"/>
        <v>0</v>
      </c>
      <c r="AJ613" s="2">
        <f t="shared" si="70"/>
        <v>0</v>
      </c>
      <c r="AK613" s="2">
        <f t="shared" si="71"/>
        <v>0</v>
      </c>
      <c r="AL613" s="2">
        <f t="shared" si="66"/>
        <v>0</v>
      </c>
      <c r="AM613" s="2">
        <f t="shared" si="67"/>
        <v>0</v>
      </c>
      <c r="AN613" s="2">
        <f t="shared" si="68"/>
        <v>0</v>
      </c>
    </row>
    <row r="614" spans="1:40" x14ac:dyDescent="0.25">
      <c r="A614" s="16"/>
      <c r="B614" s="27"/>
      <c r="C614" s="9"/>
      <c r="D614" s="6"/>
      <c r="E614" s="1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2">
        <f t="shared" si="69"/>
        <v>0</v>
      </c>
      <c r="AJ614" s="2">
        <f t="shared" si="70"/>
        <v>0</v>
      </c>
      <c r="AK614" s="2">
        <f t="shared" si="71"/>
        <v>0</v>
      </c>
      <c r="AL614" s="2">
        <f t="shared" si="66"/>
        <v>0</v>
      </c>
      <c r="AM614" s="2">
        <f t="shared" si="67"/>
        <v>0</v>
      </c>
      <c r="AN614" s="2">
        <f t="shared" si="68"/>
        <v>0</v>
      </c>
    </row>
    <row r="615" spans="1:40" x14ac:dyDescent="0.25">
      <c r="A615" s="16"/>
      <c r="B615" s="27"/>
      <c r="C615" s="9"/>
      <c r="D615" s="6"/>
      <c r="E615" s="1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2">
        <f t="shared" si="69"/>
        <v>0</v>
      </c>
      <c r="AJ615" s="2">
        <f t="shared" si="70"/>
        <v>0</v>
      </c>
      <c r="AK615" s="2">
        <f t="shared" si="71"/>
        <v>0</v>
      </c>
      <c r="AL615" s="2">
        <f t="shared" si="66"/>
        <v>0</v>
      </c>
      <c r="AM615" s="2">
        <f t="shared" si="67"/>
        <v>0</v>
      </c>
      <c r="AN615" s="2">
        <f t="shared" si="68"/>
        <v>0</v>
      </c>
    </row>
    <row r="616" spans="1:40" x14ac:dyDescent="0.25">
      <c r="A616" s="16"/>
      <c r="B616" s="27"/>
      <c r="C616" s="9"/>
      <c r="D616" s="6"/>
      <c r="E616" s="1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2">
        <f t="shared" si="69"/>
        <v>0</v>
      </c>
      <c r="AJ616" s="2">
        <f t="shared" si="70"/>
        <v>0</v>
      </c>
      <c r="AK616" s="2">
        <f t="shared" si="71"/>
        <v>0</v>
      </c>
      <c r="AL616" s="2">
        <f t="shared" si="66"/>
        <v>0</v>
      </c>
      <c r="AM616" s="2">
        <f t="shared" si="67"/>
        <v>0</v>
      </c>
      <c r="AN616" s="2">
        <f t="shared" si="68"/>
        <v>0</v>
      </c>
    </row>
    <row r="617" spans="1:40" x14ac:dyDescent="0.25">
      <c r="A617" s="16"/>
      <c r="B617" s="27"/>
      <c r="C617" s="9"/>
      <c r="D617" s="6"/>
      <c r="E617" s="1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2">
        <f t="shared" si="69"/>
        <v>0</v>
      </c>
      <c r="AJ617" s="2">
        <f t="shared" si="70"/>
        <v>0</v>
      </c>
      <c r="AK617" s="2">
        <f t="shared" si="71"/>
        <v>0</v>
      </c>
      <c r="AL617" s="2">
        <f t="shared" si="66"/>
        <v>0</v>
      </c>
      <c r="AM617" s="2">
        <f t="shared" si="67"/>
        <v>0</v>
      </c>
      <c r="AN617" s="2">
        <f t="shared" si="68"/>
        <v>0</v>
      </c>
    </row>
    <row r="618" spans="1:40" x14ac:dyDescent="0.25">
      <c r="A618" s="16"/>
      <c r="B618" s="27"/>
      <c r="C618" s="9"/>
      <c r="D618" s="6"/>
      <c r="E618" s="1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2">
        <f t="shared" si="69"/>
        <v>0</v>
      </c>
      <c r="AJ618" s="2">
        <f t="shared" si="70"/>
        <v>0</v>
      </c>
      <c r="AK618" s="2">
        <f t="shared" si="71"/>
        <v>0</v>
      </c>
      <c r="AL618" s="2">
        <f t="shared" si="66"/>
        <v>0</v>
      </c>
      <c r="AM618" s="2">
        <f t="shared" si="67"/>
        <v>0</v>
      </c>
      <c r="AN618" s="2">
        <f t="shared" si="68"/>
        <v>0</v>
      </c>
    </row>
    <row r="619" spans="1:40" x14ac:dyDescent="0.25">
      <c r="A619" s="16"/>
      <c r="B619" s="27"/>
      <c r="C619" s="9"/>
      <c r="D619" s="6"/>
      <c r="E619" s="1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2">
        <f t="shared" si="69"/>
        <v>0</v>
      </c>
      <c r="AJ619" s="2">
        <f t="shared" si="70"/>
        <v>0</v>
      </c>
      <c r="AK619" s="2">
        <f t="shared" si="71"/>
        <v>0</v>
      </c>
      <c r="AL619" s="2">
        <f t="shared" si="66"/>
        <v>0</v>
      </c>
      <c r="AM619" s="2">
        <f t="shared" si="67"/>
        <v>0</v>
      </c>
      <c r="AN619" s="2">
        <f t="shared" si="68"/>
        <v>0</v>
      </c>
    </row>
    <row r="620" spans="1:40" x14ac:dyDescent="0.25">
      <c r="A620" s="16"/>
      <c r="B620" s="27"/>
      <c r="C620" s="9"/>
      <c r="D620" s="6"/>
      <c r="E620" s="1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2">
        <f t="shared" si="69"/>
        <v>0</v>
      </c>
      <c r="AJ620" s="2">
        <f t="shared" si="70"/>
        <v>0</v>
      </c>
      <c r="AK620" s="2">
        <f t="shared" si="71"/>
        <v>0</v>
      </c>
      <c r="AL620" s="2">
        <f t="shared" si="66"/>
        <v>0</v>
      </c>
      <c r="AM620" s="2">
        <f t="shared" si="67"/>
        <v>0</v>
      </c>
      <c r="AN620" s="2">
        <f t="shared" si="68"/>
        <v>0</v>
      </c>
    </row>
    <row r="621" spans="1:40" x14ac:dyDescent="0.25">
      <c r="A621" s="16"/>
      <c r="B621" s="27"/>
      <c r="C621" s="9"/>
      <c r="D621" s="6"/>
      <c r="E621" s="1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2">
        <f t="shared" si="69"/>
        <v>0</v>
      </c>
      <c r="AJ621" s="2">
        <f t="shared" si="70"/>
        <v>0</v>
      </c>
      <c r="AK621" s="2">
        <f t="shared" si="71"/>
        <v>0</v>
      </c>
      <c r="AL621" s="2">
        <f t="shared" si="66"/>
        <v>0</v>
      </c>
      <c r="AM621" s="2">
        <f t="shared" si="67"/>
        <v>0</v>
      </c>
      <c r="AN621" s="2">
        <f t="shared" si="68"/>
        <v>0</v>
      </c>
    </row>
    <row r="622" spans="1:40" x14ac:dyDescent="0.25">
      <c r="A622" s="16"/>
      <c r="B622" s="27"/>
      <c r="C622" s="9"/>
      <c r="D622" s="6"/>
      <c r="E622" s="1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2">
        <f t="shared" si="69"/>
        <v>0</v>
      </c>
      <c r="AJ622" s="2">
        <f t="shared" si="70"/>
        <v>0</v>
      </c>
      <c r="AK622" s="2">
        <f t="shared" si="71"/>
        <v>0</v>
      </c>
      <c r="AL622" s="2">
        <f t="shared" si="66"/>
        <v>0</v>
      </c>
      <c r="AM622" s="2">
        <f t="shared" si="67"/>
        <v>0</v>
      </c>
      <c r="AN622" s="2">
        <f t="shared" si="68"/>
        <v>0</v>
      </c>
    </row>
    <row r="623" spans="1:40" x14ac:dyDescent="0.25">
      <c r="A623" s="16"/>
      <c r="B623" s="27"/>
      <c r="C623" s="9"/>
      <c r="D623" s="6"/>
      <c r="E623" s="1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2">
        <f t="shared" si="69"/>
        <v>0</v>
      </c>
      <c r="AJ623" s="2">
        <f t="shared" si="70"/>
        <v>0</v>
      </c>
      <c r="AK623" s="2">
        <f t="shared" si="71"/>
        <v>0</v>
      </c>
      <c r="AL623" s="2">
        <f t="shared" si="66"/>
        <v>0</v>
      </c>
      <c r="AM623" s="2">
        <f t="shared" si="67"/>
        <v>0</v>
      </c>
      <c r="AN623" s="2">
        <f t="shared" si="68"/>
        <v>0</v>
      </c>
    </row>
    <row r="624" spans="1:40" x14ac:dyDescent="0.25">
      <c r="A624" s="16"/>
      <c r="B624" s="27"/>
      <c r="C624" s="9"/>
      <c r="D624" s="6"/>
      <c r="E624" s="1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2">
        <f t="shared" si="69"/>
        <v>0</v>
      </c>
      <c r="AJ624" s="2">
        <f t="shared" si="70"/>
        <v>0</v>
      </c>
      <c r="AK624" s="2">
        <f t="shared" si="71"/>
        <v>0</v>
      </c>
      <c r="AL624" s="2">
        <f t="shared" si="66"/>
        <v>0</v>
      </c>
      <c r="AM624" s="2">
        <f t="shared" si="67"/>
        <v>0</v>
      </c>
      <c r="AN624" s="2">
        <f t="shared" si="68"/>
        <v>0</v>
      </c>
    </row>
    <row r="625" spans="1:40" x14ac:dyDescent="0.25">
      <c r="A625" s="16"/>
      <c r="B625" s="27"/>
      <c r="C625" s="9"/>
      <c r="D625" s="6"/>
      <c r="E625" s="1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2">
        <f t="shared" si="69"/>
        <v>0</v>
      </c>
      <c r="AJ625" s="2">
        <f t="shared" si="70"/>
        <v>0</v>
      </c>
      <c r="AK625" s="2">
        <f t="shared" si="71"/>
        <v>0</v>
      </c>
      <c r="AL625" s="2">
        <f t="shared" si="66"/>
        <v>0</v>
      </c>
      <c r="AM625" s="2">
        <f t="shared" si="67"/>
        <v>0</v>
      </c>
      <c r="AN625" s="2">
        <f t="shared" si="68"/>
        <v>0</v>
      </c>
    </row>
    <row r="626" spans="1:40" x14ac:dyDescent="0.25">
      <c r="A626" s="16"/>
      <c r="B626" s="27"/>
      <c r="C626" s="9"/>
      <c r="D626" s="6"/>
      <c r="E626" s="1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2">
        <f t="shared" si="69"/>
        <v>0</v>
      </c>
      <c r="AJ626" s="2">
        <f t="shared" si="70"/>
        <v>0</v>
      </c>
      <c r="AK626" s="2">
        <f t="shared" si="71"/>
        <v>0</v>
      </c>
      <c r="AL626" s="2">
        <f t="shared" ref="AL626:AL689" si="72">SUM(AJ626-AK626)+(AI626-AJ626)</f>
        <v>0</v>
      </c>
      <c r="AM626" s="2">
        <f t="shared" ref="AM626:AM689" si="73">SUM(AJ626-AK626)</f>
        <v>0</v>
      </c>
      <c r="AN626" s="2">
        <f t="shared" ref="AN626:AN689" si="74">SUM(AI626-AJ626)</f>
        <v>0</v>
      </c>
    </row>
    <row r="627" spans="1:40" x14ac:dyDescent="0.25">
      <c r="A627" s="16"/>
      <c r="B627" s="27"/>
      <c r="C627" s="9"/>
      <c r="D627" s="6"/>
      <c r="E627" s="1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2">
        <f t="shared" si="69"/>
        <v>0</v>
      </c>
      <c r="AJ627" s="2">
        <f t="shared" si="70"/>
        <v>0</v>
      </c>
      <c r="AK627" s="2">
        <f t="shared" si="71"/>
        <v>0</v>
      </c>
      <c r="AL627" s="2">
        <f t="shared" si="72"/>
        <v>0</v>
      </c>
      <c r="AM627" s="2">
        <f t="shared" si="73"/>
        <v>0</v>
      </c>
      <c r="AN627" s="2">
        <f t="shared" si="74"/>
        <v>0</v>
      </c>
    </row>
    <row r="628" spans="1:40" x14ac:dyDescent="0.25">
      <c r="A628" s="16"/>
      <c r="B628" s="27"/>
      <c r="C628" s="9"/>
      <c r="D628" s="6"/>
      <c r="E628" s="1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2">
        <f t="shared" si="69"/>
        <v>0</v>
      </c>
      <c r="AJ628" s="2">
        <f t="shared" si="70"/>
        <v>0</v>
      </c>
      <c r="AK628" s="2">
        <f t="shared" si="71"/>
        <v>0</v>
      </c>
      <c r="AL628" s="2">
        <f t="shared" si="72"/>
        <v>0</v>
      </c>
      <c r="AM628" s="2">
        <f t="shared" si="73"/>
        <v>0</v>
      </c>
      <c r="AN628" s="2">
        <f t="shared" si="74"/>
        <v>0</v>
      </c>
    </row>
    <row r="629" spans="1:40" x14ac:dyDescent="0.25">
      <c r="A629" s="16"/>
      <c r="B629" s="27"/>
      <c r="C629" s="9"/>
      <c r="D629" s="6"/>
      <c r="E629" s="1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2">
        <f t="shared" si="69"/>
        <v>0</v>
      </c>
      <c r="AJ629" s="2">
        <f t="shared" si="70"/>
        <v>0</v>
      </c>
      <c r="AK629" s="2">
        <f t="shared" si="71"/>
        <v>0</v>
      </c>
      <c r="AL629" s="2">
        <f t="shared" si="72"/>
        <v>0</v>
      </c>
      <c r="AM629" s="2">
        <f t="shared" si="73"/>
        <v>0</v>
      </c>
      <c r="AN629" s="2">
        <f t="shared" si="74"/>
        <v>0</v>
      </c>
    </row>
    <row r="630" spans="1:40" x14ac:dyDescent="0.25">
      <c r="A630" s="16"/>
      <c r="B630" s="27"/>
      <c r="C630" s="9"/>
      <c r="D630" s="6"/>
      <c r="E630" s="1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2">
        <f t="shared" si="69"/>
        <v>0</v>
      </c>
      <c r="AJ630" s="2">
        <f t="shared" si="70"/>
        <v>0</v>
      </c>
      <c r="AK630" s="2">
        <f t="shared" si="71"/>
        <v>0</v>
      </c>
      <c r="AL630" s="2">
        <f t="shared" si="72"/>
        <v>0</v>
      </c>
      <c r="AM630" s="2">
        <f t="shared" si="73"/>
        <v>0</v>
      </c>
      <c r="AN630" s="2">
        <f t="shared" si="74"/>
        <v>0</v>
      </c>
    </row>
    <row r="631" spans="1:40" x14ac:dyDescent="0.25">
      <c r="A631" s="16"/>
      <c r="B631" s="27"/>
      <c r="C631" s="9"/>
      <c r="D631" s="6"/>
      <c r="E631" s="1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2">
        <f t="shared" si="69"/>
        <v>0</v>
      </c>
      <c r="AJ631" s="2">
        <f t="shared" si="70"/>
        <v>0</v>
      </c>
      <c r="AK631" s="2">
        <f t="shared" si="71"/>
        <v>0</v>
      </c>
      <c r="AL631" s="2">
        <f t="shared" si="72"/>
        <v>0</v>
      </c>
      <c r="AM631" s="2">
        <f t="shared" si="73"/>
        <v>0</v>
      </c>
      <c r="AN631" s="2">
        <f t="shared" si="74"/>
        <v>0</v>
      </c>
    </row>
    <row r="632" spans="1:40" x14ac:dyDescent="0.25">
      <c r="A632" s="16"/>
      <c r="B632" s="27"/>
      <c r="C632" s="9"/>
      <c r="D632" s="6"/>
      <c r="E632" s="1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2">
        <f t="shared" si="69"/>
        <v>0</v>
      </c>
      <c r="AJ632" s="2">
        <f t="shared" si="70"/>
        <v>0</v>
      </c>
      <c r="AK632" s="2">
        <f t="shared" si="71"/>
        <v>0</v>
      </c>
      <c r="AL632" s="2">
        <f t="shared" si="72"/>
        <v>0</v>
      </c>
      <c r="AM632" s="2">
        <f t="shared" si="73"/>
        <v>0</v>
      </c>
      <c r="AN632" s="2">
        <f t="shared" si="74"/>
        <v>0</v>
      </c>
    </row>
    <row r="633" spans="1:40" x14ac:dyDescent="0.25">
      <c r="A633" s="16"/>
      <c r="B633" s="27"/>
      <c r="C633" s="9"/>
      <c r="D633" s="6"/>
      <c r="E633" s="1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2">
        <f t="shared" si="69"/>
        <v>0</v>
      </c>
      <c r="AJ633" s="2">
        <f t="shared" si="70"/>
        <v>0</v>
      </c>
      <c r="AK633" s="2">
        <f t="shared" si="71"/>
        <v>0</v>
      </c>
      <c r="AL633" s="2">
        <f t="shared" si="72"/>
        <v>0</v>
      </c>
      <c r="AM633" s="2">
        <f t="shared" si="73"/>
        <v>0</v>
      </c>
      <c r="AN633" s="2">
        <f t="shared" si="74"/>
        <v>0</v>
      </c>
    </row>
    <row r="634" spans="1:40" x14ac:dyDescent="0.25">
      <c r="A634" s="16"/>
      <c r="B634" s="27"/>
      <c r="C634" s="9"/>
      <c r="D634" s="6"/>
      <c r="E634" s="1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2">
        <f t="shared" si="69"/>
        <v>0</v>
      </c>
      <c r="AJ634" s="2">
        <f t="shared" si="70"/>
        <v>0</v>
      </c>
      <c r="AK634" s="2">
        <f t="shared" si="71"/>
        <v>0</v>
      </c>
      <c r="AL634" s="2">
        <f t="shared" si="72"/>
        <v>0</v>
      </c>
      <c r="AM634" s="2">
        <f t="shared" si="73"/>
        <v>0</v>
      </c>
      <c r="AN634" s="2">
        <f t="shared" si="74"/>
        <v>0</v>
      </c>
    </row>
    <row r="635" spans="1:40" x14ac:dyDescent="0.25">
      <c r="A635" s="16"/>
      <c r="B635" s="27"/>
      <c r="C635" s="9"/>
      <c r="D635" s="6"/>
      <c r="E635" s="1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2">
        <f t="shared" si="69"/>
        <v>0</v>
      </c>
      <c r="AJ635" s="2">
        <f t="shared" si="70"/>
        <v>0</v>
      </c>
      <c r="AK635" s="2">
        <f t="shared" si="71"/>
        <v>0</v>
      </c>
      <c r="AL635" s="2">
        <f t="shared" si="72"/>
        <v>0</v>
      </c>
      <c r="AM635" s="2">
        <f t="shared" si="73"/>
        <v>0</v>
      </c>
      <c r="AN635" s="2">
        <f t="shared" si="74"/>
        <v>0</v>
      </c>
    </row>
    <row r="636" spans="1:40" x14ac:dyDescent="0.25">
      <c r="A636" s="16"/>
      <c r="B636" s="27"/>
      <c r="C636" s="9"/>
      <c r="D636" s="6"/>
      <c r="E636" s="1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2">
        <f t="shared" si="69"/>
        <v>0</v>
      </c>
      <c r="AJ636" s="2">
        <f t="shared" si="70"/>
        <v>0</v>
      </c>
      <c r="AK636" s="2">
        <f t="shared" si="71"/>
        <v>0</v>
      </c>
      <c r="AL636" s="2">
        <f t="shared" si="72"/>
        <v>0</v>
      </c>
      <c r="AM636" s="2">
        <f t="shared" si="73"/>
        <v>0</v>
      </c>
      <c r="AN636" s="2">
        <f t="shared" si="74"/>
        <v>0</v>
      </c>
    </row>
    <row r="637" spans="1:40" x14ac:dyDescent="0.25">
      <c r="A637" s="16"/>
      <c r="B637" s="27"/>
      <c r="C637" s="9"/>
      <c r="D637" s="6"/>
      <c r="E637" s="1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2">
        <f t="shared" si="69"/>
        <v>0</v>
      </c>
      <c r="AJ637" s="2">
        <f t="shared" si="70"/>
        <v>0</v>
      </c>
      <c r="AK637" s="2">
        <f t="shared" si="71"/>
        <v>0</v>
      </c>
      <c r="AL637" s="2">
        <f t="shared" si="72"/>
        <v>0</v>
      </c>
      <c r="AM637" s="2">
        <f t="shared" si="73"/>
        <v>0</v>
      </c>
      <c r="AN637" s="2">
        <f t="shared" si="74"/>
        <v>0</v>
      </c>
    </row>
    <row r="638" spans="1:40" x14ac:dyDescent="0.25">
      <c r="A638" s="16"/>
      <c r="B638" s="27"/>
      <c r="C638" s="9"/>
      <c r="D638" s="6"/>
      <c r="E638" s="1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2">
        <f t="shared" si="69"/>
        <v>0</v>
      </c>
      <c r="AJ638" s="2">
        <f t="shared" si="70"/>
        <v>0</v>
      </c>
      <c r="AK638" s="2">
        <f t="shared" si="71"/>
        <v>0</v>
      </c>
      <c r="AL638" s="2">
        <f t="shared" si="72"/>
        <v>0</v>
      </c>
      <c r="AM638" s="2">
        <f t="shared" si="73"/>
        <v>0</v>
      </c>
      <c r="AN638" s="2">
        <f t="shared" si="74"/>
        <v>0</v>
      </c>
    </row>
    <row r="639" spans="1:40" x14ac:dyDescent="0.25">
      <c r="A639" s="16"/>
      <c r="B639" s="27"/>
      <c r="C639" s="9"/>
      <c r="D639" s="6"/>
      <c r="E639" s="1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2">
        <f t="shared" si="69"/>
        <v>0</v>
      </c>
      <c r="AJ639" s="2">
        <f t="shared" si="70"/>
        <v>0</v>
      </c>
      <c r="AK639" s="2">
        <f t="shared" si="71"/>
        <v>0</v>
      </c>
      <c r="AL639" s="2">
        <f t="shared" si="72"/>
        <v>0</v>
      </c>
      <c r="AM639" s="2">
        <f t="shared" si="73"/>
        <v>0</v>
      </c>
      <c r="AN639" s="2">
        <f t="shared" si="74"/>
        <v>0</v>
      </c>
    </row>
    <row r="640" spans="1:40" x14ac:dyDescent="0.25">
      <c r="A640" s="16"/>
      <c r="B640" s="27"/>
      <c r="C640" s="9"/>
      <c r="D640" s="6"/>
      <c r="E640" s="1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2">
        <f t="shared" si="69"/>
        <v>0</v>
      </c>
      <c r="AJ640" s="2">
        <f t="shared" si="70"/>
        <v>0</v>
      </c>
      <c r="AK640" s="2">
        <f t="shared" si="71"/>
        <v>0</v>
      </c>
      <c r="AL640" s="2">
        <f t="shared" si="72"/>
        <v>0</v>
      </c>
      <c r="AM640" s="2">
        <f t="shared" si="73"/>
        <v>0</v>
      </c>
      <c r="AN640" s="2">
        <f t="shared" si="74"/>
        <v>0</v>
      </c>
    </row>
    <row r="641" spans="1:40" x14ac:dyDescent="0.25">
      <c r="A641" s="16"/>
      <c r="B641" s="27"/>
      <c r="C641" s="9"/>
      <c r="D641" s="6"/>
      <c r="E641" s="1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2">
        <f t="shared" si="69"/>
        <v>0</v>
      </c>
      <c r="AJ641" s="2">
        <f t="shared" si="70"/>
        <v>0</v>
      </c>
      <c r="AK641" s="2">
        <f t="shared" si="71"/>
        <v>0</v>
      </c>
      <c r="AL641" s="2">
        <f t="shared" si="72"/>
        <v>0</v>
      </c>
      <c r="AM641" s="2">
        <f t="shared" si="73"/>
        <v>0</v>
      </c>
      <c r="AN641" s="2">
        <f t="shared" si="74"/>
        <v>0</v>
      </c>
    </row>
    <row r="642" spans="1:40" x14ac:dyDescent="0.25">
      <c r="A642" s="16"/>
      <c r="B642" s="27"/>
      <c r="C642" s="9"/>
      <c r="D642" s="6"/>
      <c r="E642" s="1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2">
        <f t="shared" si="69"/>
        <v>0</v>
      </c>
      <c r="AJ642" s="2">
        <f t="shared" si="70"/>
        <v>0</v>
      </c>
      <c r="AK642" s="2">
        <f t="shared" si="71"/>
        <v>0</v>
      </c>
      <c r="AL642" s="2">
        <f t="shared" si="72"/>
        <v>0</v>
      </c>
      <c r="AM642" s="2">
        <f t="shared" si="73"/>
        <v>0</v>
      </c>
      <c r="AN642" s="2">
        <f t="shared" si="74"/>
        <v>0</v>
      </c>
    </row>
    <row r="643" spans="1:40" x14ac:dyDescent="0.25">
      <c r="A643" s="16"/>
      <c r="B643" s="27"/>
      <c r="C643" s="9"/>
      <c r="D643" s="6"/>
      <c r="E643" s="1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2">
        <f t="shared" si="69"/>
        <v>0</v>
      </c>
      <c r="AJ643" s="2">
        <f t="shared" si="70"/>
        <v>0</v>
      </c>
      <c r="AK643" s="2">
        <f t="shared" si="71"/>
        <v>0</v>
      </c>
      <c r="AL643" s="2">
        <f t="shared" si="72"/>
        <v>0</v>
      </c>
      <c r="AM643" s="2">
        <f t="shared" si="73"/>
        <v>0</v>
      </c>
      <c r="AN643" s="2">
        <f t="shared" si="74"/>
        <v>0</v>
      </c>
    </row>
    <row r="644" spans="1:40" x14ac:dyDescent="0.25">
      <c r="A644" s="16"/>
      <c r="B644" s="27"/>
      <c r="C644" s="9"/>
      <c r="D644" s="6"/>
      <c r="E644" s="1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2">
        <f t="shared" si="69"/>
        <v>0</v>
      </c>
      <c r="AJ644" s="2">
        <f t="shared" si="70"/>
        <v>0</v>
      </c>
      <c r="AK644" s="2">
        <f t="shared" si="71"/>
        <v>0</v>
      </c>
      <c r="AL644" s="2">
        <f t="shared" si="72"/>
        <v>0</v>
      </c>
      <c r="AM644" s="2">
        <f t="shared" si="73"/>
        <v>0</v>
      </c>
      <c r="AN644" s="2">
        <f t="shared" si="74"/>
        <v>0</v>
      </c>
    </row>
    <row r="645" spans="1:40" x14ac:dyDescent="0.25">
      <c r="A645" s="16"/>
      <c r="B645" s="27"/>
      <c r="C645" s="9"/>
      <c r="D645" s="6"/>
      <c r="E645" s="1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2">
        <f t="shared" si="69"/>
        <v>0</v>
      </c>
      <c r="AJ645" s="2">
        <f t="shared" si="70"/>
        <v>0</v>
      </c>
      <c r="AK645" s="2">
        <f t="shared" si="71"/>
        <v>0</v>
      </c>
      <c r="AL645" s="2">
        <f t="shared" si="72"/>
        <v>0</v>
      </c>
      <c r="AM645" s="2">
        <f t="shared" si="73"/>
        <v>0</v>
      </c>
      <c r="AN645" s="2">
        <f t="shared" si="74"/>
        <v>0</v>
      </c>
    </row>
    <row r="646" spans="1:40" x14ac:dyDescent="0.25">
      <c r="A646" s="16"/>
      <c r="B646" s="27"/>
      <c r="C646" s="9"/>
      <c r="D646" s="6"/>
      <c r="E646" s="1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2">
        <f t="shared" si="69"/>
        <v>0</v>
      </c>
      <c r="AJ646" s="2">
        <f t="shared" si="70"/>
        <v>0</v>
      </c>
      <c r="AK646" s="2">
        <f t="shared" si="71"/>
        <v>0</v>
      </c>
      <c r="AL646" s="2">
        <f t="shared" si="72"/>
        <v>0</v>
      </c>
      <c r="AM646" s="2">
        <f t="shared" si="73"/>
        <v>0</v>
      </c>
      <c r="AN646" s="2">
        <f t="shared" si="74"/>
        <v>0</v>
      </c>
    </row>
    <row r="647" spans="1:40" x14ac:dyDescent="0.25">
      <c r="A647" s="16"/>
      <c r="B647" s="27"/>
      <c r="C647" s="9"/>
      <c r="D647" s="6"/>
      <c r="E647" s="1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2">
        <f t="shared" si="69"/>
        <v>0</v>
      </c>
      <c r="AJ647" s="2">
        <f t="shared" si="70"/>
        <v>0</v>
      </c>
      <c r="AK647" s="2">
        <f t="shared" si="71"/>
        <v>0</v>
      </c>
      <c r="AL647" s="2">
        <f t="shared" si="72"/>
        <v>0</v>
      </c>
      <c r="AM647" s="2">
        <f t="shared" si="73"/>
        <v>0</v>
      </c>
      <c r="AN647" s="2">
        <f t="shared" si="74"/>
        <v>0</v>
      </c>
    </row>
    <row r="648" spans="1:40" x14ac:dyDescent="0.25">
      <c r="A648" s="16"/>
      <c r="B648" s="27"/>
      <c r="C648" s="9"/>
      <c r="D648" s="6"/>
      <c r="E648" s="1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2">
        <f t="shared" ref="AI648:AI711" si="75">H648-AG648+AH648</f>
        <v>0</v>
      </c>
      <c r="AJ648" s="2">
        <f t="shared" ref="AJ648:AJ711" si="76">SUM(I648:T648)</f>
        <v>0</v>
      </c>
      <c r="AK648" s="2">
        <f t="shared" ref="AK648:AK711" si="77">SUM(U648:AF648)</f>
        <v>0</v>
      </c>
      <c r="AL648" s="2">
        <f t="shared" si="72"/>
        <v>0</v>
      </c>
      <c r="AM648" s="2">
        <f t="shared" si="73"/>
        <v>0</v>
      </c>
      <c r="AN648" s="2">
        <f t="shared" si="74"/>
        <v>0</v>
      </c>
    </row>
    <row r="649" spans="1:40" x14ac:dyDescent="0.25">
      <c r="A649" s="16"/>
      <c r="B649" s="27"/>
      <c r="C649" s="9"/>
      <c r="D649" s="6"/>
      <c r="E649" s="1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2">
        <f t="shared" si="75"/>
        <v>0</v>
      </c>
      <c r="AJ649" s="2">
        <f t="shared" si="76"/>
        <v>0</v>
      </c>
      <c r="AK649" s="2">
        <f t="shared" si="77"/>
        <v>0</v>
      </c>
      <c r="AL649" s="2">
        <f t="shared" si="72"/>
        <v>0</v>
      </c>
      <c r="AM649" s="2">
        <f t="shared" si="73"/>
        <v>0</v>
      </c>
      <c r="AN649" s="2">
        <f t="shared" si="74"/>
        <v>0</v>
      </c>
    </row>
    <row r="650" spans="1:40" x14ac:dyDescent="0.25">
      <c r="A650" s="16"/>
      <c r="B650" s="27"/>
      <c r="C650" s="9"/>
      <c r="D650" s="6"/>
      <c r="E650" s="1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2">
        <f t="shared" si="75"/>
        <v>0</v>
      </c>
      <c r="AJ650" s="2">
        <f t="shared" si="76"/>
        <v>0</v>
      </c>
      <c r="AK650" s="2">
        <f t="shared" si="77"/>
        <v>0</v>
      </c>
      <c r="AL650" s="2">
        <f t="shared" si="72"/>
        <v>0</v>
      </c>
      <c r="AM650" s="2">
        <f t="shared" si="73"/>
        <v>0</v>
      </c>
      <c r="AN650" s="2">
        <f t="shared" si="74"/>
        <v>0</v>
      </c>
    </row>
    <row r="651" spans="1:40" x14ac:dyDescent="0.25">
      <c r="A651" s="16"/>
      <c r="B651" s="27"/>
      <c r="C651" s="9"/>
      <c r="D651" s="6"/>
      <c r="E651" s="1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2">
        <f t="shared" si="75"/>
        <v>0</v>
      </c>
      <c r="AJ651" s="2">
        <f t="shared" si="76"/>
        <v>0</v>
      </c>
      <c r="AK651" s="2">
        <f t="shared" si="77"/>
        <v>0</v>
      </c>
      <c r="AL651" s="2">
        <f t="shared" si="72"/>
        <v>0</v>
      </c>
      <c r="AM651" s="2">
        <f t="shared" si="73"/>
        <v>0</v>
      </c>
      <c r="AN651" s="2">
        <f t="shared" si="74"/>
        <v>0</v>
      </c>
    </row>
    <row r="652" spans="1:40" x14ac:dyDescent="0.25">
      <c r="A652" s="16"/>
      <c r="B652" s="27"/>
      <c r="C652" s="9"/>
      <c r="D652" s="6"/>
      <c r="E652" s="1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2">
        <f t="shared" si="75"/>
        <v>0</v>
      </c>
      <c r="AJ652" s="2">
        <f t="shared" si="76"/>
        <v>0</v>
      </c>
      <c r="AK652" s="2">
        <f t="shared" si="77"/>
        <v>0</v>
      </c>
      <c r="AL652" s="2">
        <f t="shared" si="72"/>
        <v>0</v>
      </c>
      <c r="AM652" s="2">
        <f t="shared" si="73"/>
        <v>0</v>
      </c>
      <c r="AN652" s="2">
        <f t="shared" si="74"/>
        <v>0</v>
      </c>
    </row>
    <row r="653" spans="1:40" x14ac:dyDescent="0.25">
      <c r="A653" s="16"/>
      <c r="B653" s="27"/>
      <c r="C653" s="9"/>
      <c r="D653" s="6"/>
      <c r="E653" s="1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2">
        <f t="shared" si="75"/>
        <v>0</v>
      </c>
      <c r="AJ653" s="2">
        <f t="shared" si="76"/>
        <v>0</v>
      </c>
      <c r="AK653" s="2">
        <f t="shared" si="77"/>
        <v>0</v>
      </c>
      <c r="AL653" s="2">
        <f t="shared" si="72"/>
        <v>0</v>
      </c>
      <c r="AM653" s="2">
        <f t="shared" si="73"/>
        <v>0</v>
      </c>
      <c r="AN653" s="2">
        <f t="shared" si="74"/>
        <v>0</v>
      </c>
    </row>
    <row r="654" spans="1:40" x14ac:dyDescent="0.25">
      <c r="A654" s="16"/>
      <c r="B654" s="27"/>
      <c r="C654" s="9"/>
      <c r="D654" s="6"/>
      <c r="E654" s="1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2">
        <f t="shared" si="75"/>
        <v>0</v>
      </c>
      <c r="AJ654" s="2">
        <f t="shared" si="76"/>
        <v>0</v>
      </c>
      <c r="AK654" s="2">
        <f t="shared" si="77"/>
        <v>0</v>
      </c>
      <c r="AL654" s="2">
        <f t="shared" si="72"/>
        <v>0</v>
      </c>
      <c r="AM654" s="2">
        <f t="shared" si="73"/>
        <v>0</v>
      </c>
      <c r="AN654" s="2">
        <f t="shared" si="74"/>
        <v>0</v>
      </c>
    </row>
    <row r="655" spans="1:40" x14ac:dyDescent="0.25">
      <c r="A655" s="16"/>
      <c r="B655" s="27"/>
      <c r="C655" s="9"/>
      <c r="D655" s="6"/>
      <c r="E655" s="1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2">
        <f t="shared" si="75"/>
        <v>0</v>
      </c>
      <c r="AJ655" s="2">
        <f t="shared" si="76"/>
        <v>0</v>
      </c>
      <c r="AK655" s="2">
        <f t="shared" si="77"/>
        <v>0</v>
      </c>
      <c r="AL655" s="2">
        <f t="shared" si="72"/>
        <v>0</v>
      </c>
      <c r="AM655" s="2">
        <f t="shared" si="73"/>
        <v>0</v>
      </c>
      <c r="AN655" s="2">
        <f t="shared" si="74"/>
        <v>0</v>
      </c>
    </row>
    <row r="656" spans="1:40" x14ac:dyDescent="0.25">
      <c r="A656" s="16"/>
      <c r="B656" s="27"/>
      <c r="C656" s="9"/>
      <c r="D656" s="6"/>
      <c r="E656" s="1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2">
        <f t="shared" si="75"/>
        <v>0</v>
      </c>
      <c r="AJ656" s="2">
        <f t="shared" si="76"/>
        <v>0</v>
      </c>
      <c r="AK656" s="2">
        <f t="shared" si="77"/>
        <v>0</v>
      </c>
      <c r="AL656" s="2">
        <f t="shared" si="72"/>
        <v>0</v>
      </c>
      <c r="AM656" s="2">
        <f t="shared" si="73"/>
        <v>0</v>
      </c>
      <c r="AN656" s="2">
        <f t="shared" si="74"/>
        <v>0</v>
      </c>
    </row>
    <row r="657" spans="1:40" x14ac:dyDescent="0.25">
      <c r="A657" s="16"/>
      <c r="B657" s="27"/>
      <c r="C657" s="9"/>
      <c r="D657" s="6"/>
      <c r="E657" s="1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2">
        <f t="shared" si="75"/>
        <v>0</v>
      </c>
      <c r="AJ657" s="2">
        <f t="shared" si="76"/>
        <v>0</v>
      </c>
      <c r="AK657" s="2">
        <f t="shared" si="77"/>
        <v>0</v>
      </c>
      <c r="AL657" s="2">
        <f t="shared" si="72"/>
        <v>0</v>
      </c>
      <c r="AM657" s="2">
        <f t="shared" si="73"/>
        <v>0</v>
      </c>
      <c r="AN657" s="2">
        <f t="shared" si="74"/>
        <v>0</v>
      </c>
    </row>
    <row r="658" spans="1:40" x14ac:dyDescent="0.25">
      <c r="A658" s="16"/>
      <c r="B658" s="27"/>
      <c r="C658" s="9"/>
      <c r="D658" s="6"/>
      <c r="E658" s="1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2">
        <f t="shared" si="75"/>
        <v>0</v>
      </c>
      <c r="AJ658" s="2">
        <f t="shared" si="76"/>
        <v>0</v>
      </c>
      <c r="AK658" s="2">
        <f t="shared" si="77"/>
        <v>0</v>
      </c>
      <c r="AL658" s="2">
        <f t="shared" si="72"/>
        <v>0</v>
      </c>
      <c r="AM658" s="2">
        <f t="shared" si="73"/>
        <v>0</v>
      </c>
      <c r="AN658" s="2">
        <f t="shared" si="74"/>
        <v>0</v>
      </c>
    </row>
    <row r="659" spans="1:40" x14ac:dyDescent="0.25">
      <c r="A659" s="16"/>
      <c r="B659" s="27"/>
      <c r="C659" s="9"/>
      <c r="D659" s="6"/>
      <c r="E659" s="1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2">
        <f t="shared" si="75"/>
        <v>0</v>
      </c>
      <c r="AJ659" s="2">
        <f t="shared" si="76"/>
        <v>0</v>
      </c>
      <c r="AK659" s="2">
        <f t="shared" si="77"/>
        <v>0</v>
      </c>
      <c r="AL659" s="2">
        <f t="shared" si="72"/>
        <v>0</v>
      </c>
      <c r="AM659" s="2">
        <f t="shared" si="73"/>
        <v>0</v>
      </c>
      <c r="AN659" s="2">
        <f t="shared" si="74"/>
        <v>0</v>
      </c>
    </row>
    <row r="660" spans="1:40" x14ac:dyDescent="0.25">
      <c r="A660" s="16"/>
      <c r="B660" s="27"/>
      <c r="C660" s="9"/>
      <c r="D660" s="6"/>
      <c r="E660" s="1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2">
        <f t="shared" si="75"/>
        <v>0</v>
      </c>
      <c r="AJ660" s="2">
        <f t="shared" si="76"/>
        <v>0</v>
      </c>
      <c r="AK660" s="2">
        <f t="shared" si="77"/>
        <v>0</v>
      </c>
      <c r="AL660" s="2">
        <f t="shared" si="72"/>
        <v>0</v>
      </c>
      <c r="AM660" s="2">
        <f t="shared" si="73"/>
        <v>0</v>
      </c>
      <c r="AN660" s="2">
        <f t="shared" si="74"/>
        <v>0</v>
      </c>
    </row>
    <row r="661" spans="1:40" x14ac:dyDescent="0.25">
      <c r="A661" s="16"/>
      <c r="B661" s="27"/>
      <c r="C661" s="9"/>
      <c r="D661" s="6"/>
      <c r="E661" s="1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2">
        <f t="shared" si="75"/>
        <v>0</v>
      </c>
      <c r="AJ661" s="2">
        <f t="shared" si="76"/>
        <v>0</v>
      </c>
      <c r="AK661" s="2">
        <f t="shared" si="77"/>
        <v>0</v>
      </c>
      <c r="AL661" s="2">
        <f t="shared" si="72"/>
        <v>0</v>
      </c>
      <c r="AM661" s="2">
        <f t="shared" si="73"/>
        <v>0</v>
      </c>
      <c r="AN661" s="2">
        <f t="shared" si="74"/>
        <v>0</v>
      </c>
    </row>
    <row r="662" spans="1:40" x14ac:dyDescent="0.25">
      <c r="A662" s="16"/>
      <c r="B662" s="27"/>
      <c r="C662" s="9"/>
      <c r="D662" s="6"/>
      <c r="E662" s="1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2">
        <f t="shared" si="75"/>
        <v>0</v>
      </c>
      <c r="AJ662" s="2">
        <f t="shared" si="76"/>
        <v>0</v>
      </c>
      <c r="AK662" s="2">
        <f t="shared" si="77"/>
        <v>0</v>
      </c>
      <c r="AL662" s="2">
        <f t="shared" si="72"/>
        <v>0</v>
      </c>
      <c r="AM662" s="2">
        <f t="shared" si="73"/>
        <v>0</v>
      </c>
      <c r="AN662" s="2">
        <f t="shared" si="74"/>
        <v>0</v>
      </c>
    </row>
    <row r="663" spans="1:40" x14ac:dyDescent="0.25">
      <c r="A663" s="16"/>
      <c r="B663" s="27"/>
      <c r="C663" s="9"/>
      <c r="D663" s="6"/>
      <c r="E663" s="1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2">
        <f t="shared" si="75"/>
        <v>0</v>
      </c>
      <c r="AJ663" s="2">
        <f t="shared" si="76"/>
        <v>0</v>
      </c>
      <c r="AK663" s="2">
        <f t="shared" si="77"/>
        <v>0</v>
      </c>
      <c r="AL663" s="2">
        <f t="shared" si="72"/>
        <v>0</v>
      </c>
      <c r="AM663" s="2">
        <f t="shared" si="73"/>
        <v>0</v>
      </c>
      <c r="AN663" s="2">
        <f t="shared" si="74"/>
        <v>0</v>
      </c>
    </row>
    <row r="664" spans="1:40" x14ac:dyDescent="0.25">
      <c r="A664" s="16"/>
      <c r="B664" s="27"/>
      <c r="C664" s="9"/>
      <c r="D664" s="6"/>
      <c r="E664" s="1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2">
        <f t="shared" si="75"/>
        <v>0</v>
      </c>
      <c r="AJ664" s="2">
        <f t="shared" si="76"/>
        <v>0</v>
      </c>
      <c r="AK664" s="2">
        <f t="shared" si="77"/>
        <v>0</v>
      </c>
      <c r="AL664" s="2">
        <f t="shared" si="72"/>
        <v>0</v>
      </c>
      <c r="AM664" s="2">
        <f t="shared" si="73"/>
        <v>0</v>
      </c>
      <c r="AN664" s="2">
        <f t="shared" si="74"/>
        <v>0</v>
      </c>
    </row>
    <row r="665" spans="1:40" x14ac:dyDescent="0.25">
      <c r="A665" s="16"/>
      <c r="B665" s="27"/>
      <c r="C665" s="9"/>
      <c r="D665" s="6"/>
      <c r="E665" s="1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2">
        <f t="shared" si="75"/>
        <v>0</v>
      </c>
      <c r="AJ665" s="2">
        <f t="shared" si="76"/>
        <v>0</v>
      </c>
      <c r="AK665" s="2">
        <f t="shared" si="77"/>
        <v>0</v>
      </c>
      <c r="AL665" s="2">
        <f t="shared" si="72"/>
        <v>0</v>
      </c>
      <c r="AM665" s="2">
        <f t="shared" si="73"/>
        <v>0</v>
      </c>
      <c r="AN665" s="2">
        <f t="shared" si="74"/>
        <v>0</v>
      </c>
    </row>
    <row r="666" spans="1:40" x14ac:dyDescent="0.25">
      <c r="A666" s="16"/>
      <c r="B666" s="27"/>
      <c r="C666" s="9"/>
      <c r="D666" s="6"/>
      <c r="E666" s="1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2">
        <f t="shared" si="75"/>
        <v>0</v>
      </c>
      <c r="AJ666" s="2">
        <f t="shared" si="76"/>
        <v>0</v>
      </c>
      <c r="AK666" s="2">
        <f t="shared" si="77"/>
        <v>0</v>
      </c>
      <c r="AL666" s="2">
        <f t="shared" si="72"/>
        <v>0</v>
      </c>
      <c r="AM666" s="2">
        <f t="shared" si="73"/>
        <v>0</v>
      </c>
      <c r="AN666" s="2">
        <f t="shared" si="74"/>
        <v>0</v>
      </c>
    </row>
    <row r="667" spans="1:40" x14ac:dyDescent="0.25">
      <c r="A667" s="16"/>
      <c r="B667" s="27"/>
      <c r="C667" s="9"/>
      <c r="D667" s="6"/>
      <c r="E667" s="1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2">
        <f t="shared" si="75"/>
        <v>0</v>
      </c>
      <c r="AJ667" s="2">
        <f t="shared" si="76"/>
        <v>0</v>
      </c>
      <c r="AK667" s="2">
        <f t="shared" si="77"/>
        <v>0</v>
      </c>
      <c r="AL667" s="2">
        <f t="shared" si="72"/>
        <v>0</v>
      </c>
      <c r="AM667" s="2">
        <f t="shared" si="73"/>
        <v>0</v>
      </c>
      <c r="AN667" s="2">
        <f t="shared" si="74"/>
        <v>0</v>
      </c>
    </row>
    <row r="668" spans="1:40" x14ac:dyDescent="0.25">
      <c r="A668" s="16"/>
      <c r="B668" s="27"/>
      <c r="C668" s="9"/>
      <c r="D668" s="6"/>
      <c r="E668" s="1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2">
        <f t="shared" si="75"/>
        <v>0</v>
      </c>
      <c r="AJ668" s="2">
        <f t="shared" si="76"/>
        <v>0</v>
      </c>
      <c r="AK668" s="2">
        <f t="shared" si="77"/>
        <v>0</v>
      </c>
      <c r="AL668" s="2">
        <f t="shared" si="72"/>
        <v>0</v>
      </c>
      <c r="AM668" s="2">
        <f t="shared" si="73"/>
        <v>0</v>
      </c>
      <c r="AN668" s="2">
        <f t="shared" si="74"/>
        <v>0</v>
      </c>
    </row>
    <row r="669" spans="1:40" x14ac:dyDescent="0.25">
      <c r="A669" s="16"/>
      <c r="B669" s="27"/>
      <c r="C669" s="9"/>
      <c r="D669" s="6"/>
      <c r="E669" s="1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2">
        <f t="shared" si="75"/>
        <v>0</v>
      </c>
      <c r="AJ669" s="2">
        <f t="shared" si="76"/>
        <v>0</v>
      </c>
      <c r="AK669" s="2">
        <f t="shared" si="77"/>
        <v>0</v>
      </c>
      <c r="AL669" s="2">
        <f t="shared" si="72"/>
        <v>0</v>
      </c>
      <c r="AM669" s="2">
        <f t="shared" si="73"/>
        <v>0</v>
      </c>
      <c r="AN669" s="2">
        <f t="shared" si="74"/>
        <v>0</v>
      </c>
    </row>
    <row r="670" spans="1:40" x14ac:dyDescent="0.25">
      <c r="A670" s="16"/>
      <c r="B670" s="27"/>
      <c r="C670" s="9"/>
      <c r="D670" s="6"/>
      <c r="E670" s="1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2">
        <f t="shared" si="75"/>
        <v>0</v>
      </c>
      <c r="AJ670" s="2">
        <f t="shared" si="76"/>
        <v>0</v>
      </c>
      <c r="AK670" s="2">
        <f t="shared" si="77"/>
        <v>0</v>
      </c>
      <c r="AL670" s="2">
        <f t="shared" si="72"/>
        <v>0</v>
      </c>
      <c r="AM670" s="2">
        <f t="shared" si="73"/>
        <v>0</v>
      </c>
      <c r="AN670" s="2">
        <f t="shared" si="74"/>
        <v>0</v>
      </c>
    </row>
    <row r="671" spans="1:40" x14ac:dyDescent="0.25">
      <c r="A671" s="16"/>
      <c r="B671" s="27"/>
      <c r="C671" s="9"/>
      <c r="D671" s="6"/>
      <c r="E671" s="1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2">
        <f t="shared" si="75"/>
        <v>0</v>
      </c>
      <c r="AJ671" s="2">
        <f t="shared" si="76"/>
        <v>0</v>
      </c>
      <c r="AK671" s="2">
        <f t="shared" si="77"/>
        <v>0</v>
      </c>
      <c r="AL671" s="2">
        <f t="shared" si="72"/>
        <v>0</v>
      </c>
      <c r="AM671" s="2">
        <f t="shared" si="73"/>
        <v>0</v>
      </c>
      <c r="AN671" s="2">
        <f t="shared" si="74"/>
        <v>0</v>
      </c>
    </row>
    <row r="672" spans="1:40" x14ac:dyDescent="0.25">
      <c r="A672" s="16"/>
      <c r="B672" s="27"/>
      <c r="C672" s="9"/>
      <c r="D672" s="6"/>
      <c r="E672" s="1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2">
        <f t="shared" si="75"/>
        <v>0</v>
      </c>
      <c r="AJ672" s="2">
        <f t="shared" si="76"/>
        <v>0</v>
      </c>
      <c r="AK672" s="2">
        <f t="shared" si="77"/>
        <v>0</v>
      </c>
      <c r="AL672" s="2">
        <f t="shared" si="72"/>
        <v>0</v>
      </c>
      <c r="AM672" s="2">
        <f t="shared" si="73"/>
        <v>0</v>
      </c>
      <c r="AN672" s="2">
        <f t="shared" si="74"/>
        <v>0</v>
      </c>
    </row>
    <row r="673" spans="1:40" x14ac:dyDescent="0.25">
      <c r="A673" s="16"/>
      <c r="B673" s="27"/>
      <c r="C673" s="9"/>
      <c r="D673" s="6"/>
      <c r="E673" s="1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2">
        <f t="shared" si="75"/>
        <v>0</v>
      </c>
      <c r="AJ673" s="2">
        <f t="shared" si="76"/>
        <v>0</v>
      </c>
      <c r="AK673" s="2">
        <f t="shared" si="77"/>
        <v>0</v>
      </c>
      <c r="AL673" s="2">
        <f t="shared" si="72"/>
        <v>0</v>
      </c>
      <c r="AM673" s="2">
        <f t="shared" si="73"/>
        <v>0</v>
      </c>
      <c r="AN673" s="2">
        <f t="shared" si="74"/>
        <v>0</v>
      </c>
    </row>
    <row r="674" spans="1:40" x14ac:dyDescent="0.25">
      <c r="A674" s="16"/>
      <c r="B674" s="27"/>
      <c r="C674" s="9"/>
      <c r="D674" s="6"/>
      <c r="E674" s="1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2">
        <f t="shared" si="75"/>
        <v>0</v>
      </c>
      <c r="AJ674" s="2">
        <f t="shared" si="76"/>
        <v>0</v>
      </c>
      <c r="AK674" s="2">
        <f t="shared" si="77"/>
        <v>0</v>
      </c>
      <c r="AL674" s="2">
        <f t="shared" si="72"/>
        <v>0</v>
      </c>
      <c r="AM674" s="2">
        <f t="shared" si="73"/>
        <v>0</v>
      </c>
      <c r="AN674" s="2">
        <f t="shared" si="74"/>
        <v>0</v>
      </c>
    </row>
    <row r="675" spans="1:40" x14ac:dyDescent="0.25">
      <c r="A675" s="16"/>
      <c r="B675" s="27"/>
      <c r="C675" s="9"/>
      <c r="D675" s="6"/>
      <c r="E675" s="1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2">
        <f t="shared" si="75"/>
        <v>0</v>
      </c>
      <c r="AJ675" s="2">
        <f t="shared" si="76"/>
        <v>0</v>
      </c>
      <c r="AK675" s="2">
        <f t="shared" si="77"/>
        <v>0</v>
      </c>
      <c r="AL675" s="2">
        <f t="shared" si="72"/>
        <v>0</v>
      </c>
      <c r="AM675" s="2">
        <f t="shared" si="73"/>
        <v>0</v>
      </c>
      <c r="AN675" s="2">
        <f t="shared" si="74"/>
        <v>0</v>
      </c>
    </row>
    <row r="676" spans="1:40" x14ac:dyDescent="0.25">
      <c r="A676" s="16"/>
      <c r="B676" s="27"/>
      <c r="C676" s="9"/>
      <c r="D676" s="6"/>
      <c r="E676" s="1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2">
        <f t="shared" si="75"/>
        <v>0</v>
      </c>
      <c r="AJ676" s="2">
        <f t="shared" si="76"/>
        <v>0</v>
      </c>
      <c r="AK676" s="2">
        <f t="shared" si="77"/>
        <v>0</v>
      </c>
      <c r="AL676" s="2">
        <f t="shared" si="72"/>
        <v>0</v>
      </c>
      <c r="AM676" s="2">
        <f t="shared" si="73"/>
        <v>0</v>
      </c>
      <c r="AN676" s="2">
        <f t="shared" si="74"/>
        <v>0</v>
      </c>
    </row>
    <row r="677" spans="1:40" x14ac:dyDescent="0.25">
      <c r="A677" s="16"/>
      <c r="B677" s="27"/>
      <c r="C677" s="9"/>
      <c r="D677" s="6"/>
      <c r="E677" s="1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2">
        <f t="shared" si="75"/>
        <v>0</v>
      </c>
      <c r="AJ677" s="2">
        <f t="shared" si="76"/>
        <v>0</v>
      </c>
      <c r="AK677" s="2">
        <f t="shared" si="77"/>
        <v>0</v>
      </c>
      <c r="AL677" s="2">
        <f t="shared" si="72"/>
        <v>0</v>
      </c>
      <c r="AM677" s="2">
        <f t="shared" si="73"/>
        <v>0</v>
      </c>
      <c r="AN677" s="2">
        <f t="shared" si="74"/>
        <v>0</v>
      </c>
    </row>
    <row r="678" spans="1:40" x14ac:dyDescent="0.25">
      <c r="A678" s="16"/>
      <c r="B678" s="27"/>
      <c r="C678" s="9"/>
      <c r="D678" s="6"/>
      <c r="E678" s="1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2">
        <f t="shared" si="75"/>
        <v>0</v>
      </c>
      <c r="AJ678" s="2">
        <f t="shared" si="76"/>
        <v>0</v>
      </c>
      <c r="AK678" s="2">
        <f t="shared" si="77"/>
        <v>0</v>
      </c>
      <c r="AL678" s="2">
        <f t="shared" si="72"/>
        <v>0</v>
      </c>
      <c r="AM678" s="2">
        <f t="shared" si="73"/>
        <v>0</v>
      </c>
      <c r="AN678" s="2">
        <f t="shared" si="74"/>
        <v>0</v>
      </c>
    </row>
    <row r="679" spans="1:40" x14ac:dyDescent="0.25">
      <c r="A679" s="16"/>
      <c r="B679" s="27"/>
      <c r="C679" s="9"/>
      <c r="D679" s="6"/>
      <c r="E679" s="1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2">
        <f t="shared" si="75"/>
        <v>0</v>
      </c>
      <c r="AJ679" s="2">
        <f t="shared" si="76"/>
        <v>0</v>
      </c>
      <c r="AK679" s="2">
        <f t="shared" si="77"/>
        <v>0</v>
      </c>
      <c r="AL679" s="2">
        <f t="shared" si="72"/>
        <v>0</v>
      </c>
      <c r="AM679" s="2">
        <f t="shared" si="73"/>
        <v>0</v>
      </c>
      <c r="AN679" s="2">
        <f t="shared" si="74"/>
        <v>0</v>
      </c>
    </row>
    <row r="680" spans="1:40" x14ac:dyDescent="0.25">
      <c r="A680" s="16"/>
      <c r="B680" s="27"/>
      <c r="C680" s="9"/>
      <c r="D680" s="6"/>
      <c r="E680" s="1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2">
        <f t="shared" si="75"/>
        <v>0</v>
      </c>
      <c r="AJ680" s="2">
        <f t="shared" si="76"/>
        <v>0</v>
      </c>
      <c r="AK680" s="2">
        <f t="shared" si="77"/>
        <v>0</v>
      </c>
      <c r="AL680" s="2">
        <f t="shared" si="72"/>
        <v>0</v>
      </c>
      <c r="AM680" s="2">
        <f t="shared" si="73"/>
        <v>0</v>
      </c>
      <c r="AN680" s="2">
        <f t="shared" si="74"/>
        <v>0</v>
      </c>
    </row>
    <row r="681" spans="1:40" x14ac:dyDescent="0.25">
      <c r="A681" s="16"/>
      <c r="B681" s="27"/>
      <c r="C681" s="9"/>
      <c r="D681" s="6"/>
      <c r="E681" s="1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2">
        <f t="shared" si="75"/>
        <v>0</v>
      </c>
      <c r="AJ681" s="2">
        <f t="shared" si="76"/>
        <v>0</v>
      </c>
      <c r="AK681" s="2">
        <f t="shared" si="77"/>
        <v>0</v>
      </c>
      <c r="AL681" s="2">
        <f t="shared" si="72"/>
        <v>0</v>
      </c>
      <c r="AM681" s="2">
        <f t="shared" si="73"/>
        <v>0</v>
      </c>
      <c r="AN681" s="2">
        <f t="shared" si="74"/>
        <v>0</v>
      </c>
    </row>
    <row r="682" spans="1:40" x14ac:dyDescent="0.25">
      <c r="A682" s="16"/>
      <c r="B682" s="27"/>
      <c r="C682" s="9"/>
      <c r="D682" s="6"/>
      <c r="E682" s="1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2">
        <f t="shared" si="75"/>
        <v>0</v>
      </c>
      <c r="AJ682" s="2">
        <f t="shared" si="76"/>
        <v>0</v>
      </c>
      <c r="AK682" s="2">
        <f t="shared" si="77"/>
        <v>0</v>
      </c>
      <c r="AL682" s="2">
        <f t="shared" si="72"/>
        <v>0</v>
      </c>
      <c r="AM682" s="2">
        <f t="shared" si="73"/>
        <v>0</v>
      </c>
      <c r="AN682" s="2">
        <f t="shared" si="74"/>
        <v>0</v>
      </c>
    </row>
    <row r="683" spans="1:40" x14ac:dyDescent="0.25">
      <c r="A683" s="16"/>
      <c r="B683" s="27"/>
      <c r="C683" s="9"/>
      <c r="D683" s="6"/>
      <c r="E683" s="1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2">
        <f t="shared" si="75"/>
        <v>0</v>
      </c>
      <c r="AJ683" s="2">
        <f t="shared" si="76"/>
        <v>0</v>
      </c>
      <c r="AK683" s="2">
        <f t="shared" si="77"/>
        <v>0</v>
      </c>
      <c r="AL683" s="2">
        <f t="shared" si="72"/>
        <v>0</v>
      </c>
      <c r="AM683" s="2">
        <f t="shared" si="73"/>
        <v>0</v>
      </c>
      <c r="AN683" s="2">
        <f t="shared" si="74"/>
        <v>0</v>
      </c>
    </row>
    <row r="684" spans="1:40" x14ac:dyDescent="0.25">
      <c r="A684" s="16"/>
      <c r="B684" s="27"/>
      <c r="C684" s="9"/>
      <c r="D684" s="6"/>
      <c r="E684" s="1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2">
        <f t="shared" si="75"/>
        <v>0</v>
      </c>
      <c r="AJ684" s="2">
        <f t="shared" si="76"/>
        <v>0</v>
      </c>
      <c r="AK684" s="2">
        <f t="shared" si="77"/>
        <v>0</v>
      </c>
      <c r="AL684" s="2">
        <f t="shared" si="72"/>
        <v>0</v>
      </c>
      <c r="AM684" s="2">
        <f t="shared" si="73"/>
        <v>0</v>
      </c>
      <c r="AN684" s="2">
        <f t="shared" si="74"/>
        <v>0</v>
      </c>
    </row>
    <row r="685" spans="1:40" x14ac:dyDescent="0.25">
      <c r="A685" s="16"/>
      <c r="B685" s="27"/>
      <c r="C685" s="9"/>
      <c r="D685" s="6"/>
      <c r="E685" s="1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2">
        <f t="shared" si="75"/>
        <v>0</v>
      </c>
      <c r="AJ685" s="2">
        <f t="shared" si="76"/>
        <v>0</v>
      </c>
      <c r="AK685" s="2">
        <f t="shared" si="77"/>
        <v>0</v>
      </c>
      <c r="AL685" s="2">
        <f t="shared" si="72"/>
        <v>0</v>
      </c>
      <c r="AM685" s="2">
        <f t="shared" si="73"/>
        <v>0</v>
      </c>
      <c r="AN685" s="2">
        <f t="shared" si="74"/>
        <v>0</v>
      </c>
    </row>
    <row r="686" spans="1:40" x14ac:dyDescent="0.25">
      <c r="A686" s="16"/>
      <c r="B686" s="27"/>
      <c r="C686" s="9"/>
      <c r="D686" s="6"/>
      <c r="E686" s="1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2">
        <f t="shared" si="75"/>
        <v>0</v>
      </c>
      <c r="AJ686" s="2">
        <f t="shared" si="76"/>
        <v>0</v>
      </c>
      <c r="AK686" s="2">
        <f t="shared" si="77"/>
        <v>0</v>
      </c>
      <c r="AL686" s="2">
        <f t="shared" si="72"/>
        <v>0</v>
      </c>
      <c r="AM686" s="2">
        <f t="shared" si="73"/>
        <v>0</v>
      </c>
      <c r="AN686" s="2">
        <f t="shared" si="74"/>
        <v>0</v>
      </c>
    </row>
    <row r="687" spans="1:40" x14ac:dyDescent="0.25">
      <c r="A687" s="16"/>
      <c r="B687" s="27"/>
      <c r="C687" s="9"/>
      <c r="D687" s="6"/>
      <c r="E687" s="1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2">
        <f t="shared" si="75"/>
        <v>0</v>
      </c>
      <c r="AJ687" s="2">
        <f t="shared" si="76"/>
        <v>0</v>
      </c>
      <c r="AK687" s="2">
        <f t="shared" si="77"/>
        <v>0</v>
      </c>
      <c r="AL687" s="2">
        <f t="shared" si="72"/>
        <v>0</v>
      </c>
      <c r="AM687" s="2">
        <f t="shared" si="73"/>
        <v>0</v>
      </c>
      <c r="AN687" s="2">
        <f t="shared" si="74"/>
        <v>0</v>
      </c>
    </row>
    <row r="688" spans="1:40" x14ac:dyDescent="0.25">
      <c r="A688" s="16"/>
      <c r="B688" s="27"/>
      <c r="C688" s="9"/>
      <c r="D688" s="6"/>
      <c r="E688" s="1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2">
        <f t="shared" si="75"/>
        <v>0</v>
      </c>
      <c r="AJ688" s="2">
        <f t="shared" si="76"/>
        <v>0</v>
      </c>
      <c r="AK688" s="2">
        <f t="shared" si="77"/>
        <v>0</v>
      </c>
      <c r="AL688" s="2">
        <f t="shared" si="72"/>
        <v>0</v>
      </c>
      <c r="AM688" s="2">
        <f t="shared" si="73"/>
        <v>0</v>
      </c>
      <c r="AN688" s="2">
        <f t="shared" si="74"/>
        <v>0</v>
      </c>
    </row>
    <row r="689" spans="1:40" x14ac:dyDescent="0.25">
      <c r="A689" s="16"/>
      <c r="B689" s="27"/>
      <c r="C689" s="9"/>
      <c r="D689" s="6"/>
      <c r="E689" s="1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2">
        <f t="shared" si="75"/>
        <v>0</v>
      </c>
      <c r="AJ689" s="2">
        <f t="shared" si="76"/>
        <v>0</v>
      </c>
      <c r="AK689" s="2">
        <f t="shared" si="77"/>
        <v>0</v>
      </c>
      <c r="AL689" s="2">
        <f t="shared" si="72"/>
        <v>0</v>
      </c>
      <c r="AM689" s="2">
        <f t="shared" si="73"/>
        <v>0</v>
      </c>
      <c r="AN689" s="2">
        <f t="shared" si="74"/>
        <v>0</v>
      </c>
    </row>
    <row r="690" spans="1:40" x14ac:dyDescent="0.25">
      <c r="A690" s="16"/>
      <c r="B690" s="27"/>
      <c r="C690" s="9"/>
      <c r="D690" s="6"/>
      <c r="E690" s="1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2">
        <f t="shared" si="75"/>
        <v>0</v>
      </c>
      <c r="AJ690" s="2">
        <f t="shared" si="76"/>
        <v>0</v>
      </c>
      <c r="AK690" s="2">
        <f t="shared" si="77"/>
        <v>0</v>
      </c>
      <c r="AL690" s="2">
        <f t="shared" ref="AL690:AL753" si="78">SUM(AJ690-AK690)+(AI690-AJ690)</f>
        <v>0</v>
      </c>
      <c r="AM690" s="2">
        <f t="shared" ref="AM690:AM753" si="79">SUM(AJ690-AK690)</f>
        <v>0</v>
      </c>
      <c r="AN690" s="2">
        <f t="shared" ref="AN690:AN753" si="80">SUM(AI690-AJ690)</f>
        <v>0</v>
      </c>
    </row>
    <row r="691" spans="1:40" x14ac:dyDescent="0.25">
      <c r="A691" s="16"/>
      <c r="B691" s="27"/>
      <c r="C691" s="9"/>
      <c r="D691" s="6"/>
      <c r="E691" s="1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2">
        <f t="shared" si="75"/>
        <v>0</v>
      </c>
      <c r="AJ691" s="2">
        <f t="shared" si="76"/>
        <v>0</v>
      </c>
      <c r="AK691" s="2">
        <f t="shared" si="77"/>
        <v>0</v>
      </c>
      <c r="AL691" s="2">
        <f t="shared" si="78"/>
        <v>0</v>
      </c>
      <c r="AM691" s="2">
        <f t="shared" si="79"/>
        <v>0</v>
      </c>
      <c r="AN691" s="2">
        <f t="shared" si="80"/>
        <v>0</v>
      </c>
    </row>
    <row r="692" spans="1:40" x14ac:dyDescent="0.25">
      <c r="A692" s="16"/>
      <c r="B692" s="27"/>
      <c r="C692" s="9"/>
      <c r="D692" s="6"/>
      <c r="E692" s="1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2">
        <f t="shared" si="75"/>
        <v>0</v>
      </c>
      <c r="AJ692" s="2">
        <f t="shared" si="76"/>
        <v>0</v>
      </c>
      <c r="AK692" s="2">
        <f t="shared" si="77"/>
        <v>0</v>
      </c>
      <c r="AL692" s="2">
        <f t="shared" si="78"/>
        <v>0</v>
      </c>
      <c r="AM692" s="2">
        <f t="shared" si="79"/>
        <v>0</v>
      </c>
      <c r="AN692" s="2">
        <f t="shared" si="80"/>
        <v>0</v>
      </c>
    </row>
    <row r="693" spans="1:40" x14ac:dyDescent="0.25">
      <c r="A693" s="16"/>
      <c r="B693" s="27"/>
      <c r="C693" s="9"/>
      <c r="D693" s="6"/>
      <c r="E693" s="1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2">
        <f t="shared" si="75"/>
        <v>0</v>
      </c>
      <c r="AJ693" s="2">
        <f t="shared" si="76"/>
        <v>0</v>
      </c>
      <c r="AK693" s="2">
        <f t="shared" si="77"/>
        <v>0</v>
      </c>
      <c r="AL693" s="2">
        <f t="shared" si="78"/>
        <v>0</v>
      </c>
      <c r="AM693" s="2">
        <f t="shared" si="79"/>
        <v>0</v>
      </c>
      <c r="AN693" s="2">
        <f t="shared" si="80"/>
        <v>0</v>
      </c>
    </row>
    <row r="694" spans="1:40" x14ac:dyDescent="0.25">
      <c r="A694" s="16"/>
      <c r="B694" s="27"/>
      <c r="C694" s="9"/>
      <c r="D694" s="6"/>
      <c r="E694" s="1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2">
        <f t="shared" si="75"/>
        <v>0</v>
      </c>
      <c r="AJ694" s="2">
        <f t="shared" si="76"/>
        <v>0</v>
      </c>
      <c r="AK694" s="2">
        <f t="shared" si="77"/>
        <v>0</v>
      </c>
      <c r="AL694" s="2">
        <f t="shared" si="78"/>
        <v>0</v>
      </c>
      <c r="AM694" s="2">
        <f t="shared" si="79"/>
        <v>0</v>
      </c>
      <c r="AN694" s="2">
        <f t="shared" si="80"/>
        <v>0</v>
      </c>
    </row>
    <row r="695" spans="1:40" x14ac:dyDescent="0.25">
      <c r="A695" s="16"/>
      <c r="B695" s="27"/>
      <c r="C695" s="9"/>
      <c r="D695" s="6"/>
      <c r="E695" s="1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2">
        <f t="shared" si="75"/>
        <v>0</v>
      </c>
      <c r="AJ695" s="2">
        <f t="shared" si="76"/>
        <v>0</v>
      </c>
      <c r="AK695" s="2">
        <f t="shared" si="77"/>
        <v>0</v>
      </c>
      <c r="AL695" s="2">
        <f t="shared" si="78"/>
        <v>0</v>
      </c>
      <c r="AM695" s="2">
        <f t="shared" si="79"/>
        <v>0</v>
      </c>
      <c r="AN695" s="2">
        <f t="shared" si="80"/>
        <v>0</v>
      </c>
    </row>
    <row r="696" spans="1:40" x14ac:dyDescent="0.25">
      <c r="A696" s="16"/>
      <c r="B696" s="27"/>
      <c r="C696" s="9"/>
      <c r="D696" s="6"/>
      <c r="E696" s="1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2">
        <f t="shared" si="75"/>
        <v>0</v>
      </c>
      <c r="AJ696" s="2">
        <f t="shared" si="76"/>
        <v>0</v>
      </c>
      <c r="AK696" s="2">
        <f t="shared" si="77"/>
        <v>0</v>
      </c>
      <c r="AL696" s="2">
        <f t="shared" si="78"/>
        <v>0</v>
      </c>
      <c r="AM696" s="2">
        <f t="shared" si="79"/>
        <v>0</v>
      </c>
      <c r="AN696" s="2">
        <f t="shared" si="80"/>
        <v>0</v>
      </c>
    </row>
    <row r="697" spans="1:40" x14ac:dyDescent="0.25">
      <c r="A697" s="16"/>
      <c r="B697" s="27"/>
      <c r="C697" s="9"/>
      <c r="D697" s="6"/>
      <c r="E697" s="1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2">
        <f t="shared" si="75"/>
        <v>0</v>
      </c>
      <c r="AJ697" s="2">
        <f t="shared" si="76"/>
        <v>0</v>
      </c>
      <c r="AK697" s="2">
        <f t="shared" si="77"/>
        <v>0</v>
      </c>
      <c r="AL697" s="2">
        <f t="shared" si="78"/>
        <v>0</v>
      </c>
      <c r="AM697" s="2">
        <f t="shared" si="79"/>
        <v>0</v>
      </c>
      <c r="AN697" s="2">
        <f t="shared" si="80"/>
        <v>0</v>
      </c>
    </row>
    <row r="698" spans="1:40" x14ac:dyDescent="0.25">
      <c r="A698" s="16"/>
      <c r="B698" s="27"/>
      <c r="C698" s="9"/>
      <c r="D698" s="6"/>
      <c r="E698" s="1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2">
        <f t="shared" si="75"/>
        <v>0</v>
      </c>
      <c r="AJ698" s="2">
        <f t="shared" si="76"/>
        <v>0</v>
      </c>
      <c r="AK698" s="2">
        <f t="shared" si="77"/>
        <v>0</v>
      </c>
      <c r="AL698" s="2">
        <f t="shared" si="78"/>
        <v>0</v>
      </c>
      <c r="AM698" s="2">
        <f t="shared" si="79"/>
        <v>0</v>
      </c>
      <c r="AN698" s="2">
        <f t="shared" si="80"/>
        <v>0</v>
      </c>
    </row>
    <row r="699" spans="1:40" x14ac:dyDescent="0.25">
      <c r="A699" s="16"/>
      <c r="B699" s="27"/>
      <c r="C699" s="9"/>
      <c r="D699" s="6"/>
      <c r="E699" s="1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2">
        <f t="shared" si="75"/>
        <v>0</v>
      </c>
      <c r="AJ699" s="2">
        <f t="shared" si="76"/>
        <v>0</v>
      </c>
      <c r="AK699" s="2">
        <f t="shared" si="77"/>
        <v>0</v>
      </c>
      <c r="AL699" s="2">
        <f t="shared" si="78"/>
        <v>0</v>
      </c>
      <c r="AM699" s="2">
        <f t="shared" si="79"/>
        <v>0</v>
      </c>
      <c r="AN699" s="2">
        <f t="shared" si="80"/>
        <v>0</v>
      </c>
    </row>
    <row r="700" spans="1:40" x14ac:dyDescent="0.25">
      <c r="A700" s="16"/>
      <c r="B700" s="27"/>
      <c r="C700" s="9"/>
      <c r="D700" s="6"/>
      <c r="E700" s="1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2">
        <f t="shared" si="75"/>
        <v>0</v>
      </c>
      <c r="AJ700" s="2">
        <f t="shared" si="76"/>
        <v>0</v>
      </c>
      <c r="AK700" s="2">
        <f t="shared" si="77"/>
        <v>0</v>
      </c>
      <c r="AL700" s="2">
        <f t="shared" si="78"/>
        <v>0</v>
      </c>
      <c r="AM700" s="2">
        <f t="shared" si="79"/>
        <v>0</v>
      </c>
      <c r="AN700" s="2">
        <f t="shared" si="80"/>
        <v>0</v>
      </c>
    </row>
    <row r="701" spans="1:40" x14ac:dyDescent="0.25">
      <c r="A701" s="16"/>
      <c r="B701" s="27"/>
      <c r="C701" s="9"/>
      <c r="D701" s="6"/>
      <c r="E701" s="1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2">
        <f t="shared" si="75"/>
        <v>0</v>
      </c>
      <c r="AJ701" s="2">
        <f t="shared" si="76"/>
        <v>0</v>
      </c>
      <c r="AK701" s="2">
        <f t="shared" si="77"/>
        <v>0</v>
      </c>
      <c r="AL701" s="2">
        <f t="shared" si="78"/>
        <v>0</v>
      </c>
      <c r="AM701" s="2">
        <f t="shared" si="79"/>
        <v>0</v>
      </c>
      <c r="AN701" s="2">
        <f t="shared" si="80"/>
        <v>0</v>
      </c>
    </row>
    <row r="702" spans="1:40" x14ac:dyDescent="0.25">
      <c r="A702" s="16"/>
      <c r="B702" s="27"/>
      <c r="C702" s="9"/>
      <c r="D702" s="6"/>
      <c r="E702" s="1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2">
        <f t="shared" si="75"/>
        <v>0</v>
      </c>
      <c r="AJ702" s="2">
        <f t="shared" si="76"/>
        <v>0</v>
      </c>
      <c r="AK702" s="2">
        <f t="shared" si="77"/>
        <v>0</v>
      </c>
      <c r="AL702" s="2">
        <f t="shared" si="78"/>
        <v>0</v>
      </c>
      <c r="AM702" s="2">
        <f t="shared" si="79"/>
        <v>0</v>
      </c>
      <c r="AN702" s="2">
        <f t="shared" si="80"/>
        <v>0</v>
      </c>
    </row>
    <row r="703" spans="1:40" x14ac:dyDescent="0.25">
      <c r="A703" s="16"/>
      <c r="B703" s="27"/>
      <c r="C703" s="9"/>
      <c r="D703" s="6"/>
      <c r="E703" s="1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2">
        <f t="shared" si="75"/>
        <v>0</v>
      </c>
      <c r="AJ703" s="2">
        <f t="shared" si="76"/>
        <v>0</v>
      </c>
      <c r="AK703" s="2">
        <f t="shared" si="77"/>
        <v>0</v>
      </c>
      <c r="AL703" s="2">
        <f t="shared" si="78"/>
        <v>0</v>
      </c>
      <c r="AM703" s="2">
        <f t="shared" si="79"/>
        <v>0</v>
      </c>
      <c r="AN703" s="2">
        <f t="shared" si="80"/>
        <v>0</v>
      </c>
    </row>
    <row r="704" spans="1:40" x14ac:dyDescent="0.25">
      <c r="A704" s="16"/>
      <c r="B704" s="27"/>
      <c r="C704" s="9"/>
      <c r="D704" s="6"/>
      <c r="E704" s="1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2">
        <f t="shared" si="75"/>
        <v>0</v>
      </c>
      <c r="AJ704" s="2">
        <f t="shared" si="76"/>
        <v>0</v>
      </c>
      <c r="AK704" s="2">
        <f t="shared" si="77"/>
        <v>0</v>
      </c>
      <c r="AL704" s="2">
        <f t="shared" si="78"/>
        <v>0</v>
      </c>
      <c r="AM704" s="2">
        <f t="shared" si="79"/>
        <v>0</v>
      </c>
      <c r="AN704" s="2">
        <f t="shared" si="80"/>
        <v>0</v>
      </c>
    </row>
    <row r="705" spans="1:40" x14ac:dyDescent="0.25">
      <c r="A705" s="16"/>
      <c r="B705" s="27"/>
      <c r="C705" s="9"/>
      <c r="D705" s="6"/>
      <c r="E705" s="1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2">
        <f t="shared" si="75"/>
        <v>0</v>
      </c>
      <c r="AJ705" s="2">
        <f t="shared" si="76"/>
        <v>0</v>
      </c>
      <c r="AK705" s="2">
        <f t="shared" si="77"/>
        <v>0</v>
      </c>
      <c r="AL705" s="2">
        <f t="shared" si="78"/>
        <v>0</v>
      </c>
      <c r="AM705" s="2">
        <f t="shared" si="79"/>
        <v>0</v>
      </c>
      <c r="AN705" s="2">
        <f t="shared" si="80"/>
        <v>0</v>
      </c>
    </row>
    <row r="706" spans="1:40" x14ac:dyDescent="0.25">
      <c r="A706" s="16"/>
      <c r="B706" s="27"/>
      <c r="C706" s="9"/>
      <c r="D706" s="6"/>
      <c r="E706" s="1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2">
        <f t="shared" si="75"/>
        <v>0</v>
      </c>
      <c r="AJ706" s="2">
        <f t="shared" si="76"/>
        <v>0</v>
      </c>
      <c r="AK706" s="2">
        <f t="shared" si="77"/>
        <v>0</v>
      </c>
      <c r="AL706" s="2">
        <f t="shared" si="78"/>
        <v>0</v>
      </c>
      <c r="AM706" s="2">
        <f t="shared" si="79"/>
        <v>0</v>
      </c>
      <c r="AN706" s="2">
        <f t="shared" si="80"/>
        <v>0</v>
      </c>
    </row>
    <row r="707" spans="1:40" x14ac:dyDescent="0.25">
      <c r="A707" s="16"/>
      <c r="B707" s="27"/>
      <c r="C707" s="9"/>
      <c r="D707" s="6"/>
      <c r="E707" s="1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2">
        <f t="shared" si="75"/>
        <v>0</v>
      </c>
      <c r="AJ707" s="2">
        <f t="shared" si="76"/>
        <v>0</v>
      </c>
      <c r="AK707" s="2">
        <f t="shared" si="77"/>
        <v>0</v>
      </c>
      <c r="AL707" s="2">
        <f t="shared" si="78"/>
        <v>0</v>
      </c>
      <c r="AM707" s="2">
        <f t="shared" si="79"/>
        <v>0</v>
      </c>
      <c r="AN707" s="2">
        <f t="shared" si="80"/>
        <v>0</v>
      </c>
    </row>
    <row r="708" spans="1:40" x14ac:dyDescent="0.25">
      <c r="A708" s="16"/>
      <c r="B708" s="27"/>
      <c r="C708" s="9"/>
      <c r="D708" s="6"/>
      <c r="E708" s="1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2">
        <f t="shared" si="75"/>
        <v>0</v>
      </c>
      <c r="AJ708" s="2">
        <f t="shared" si="76"/>
        <v>0</v>
      </c>
      <c r="AK708" s="2">
        <f t="shared" si="77"/>
        <v>0</v>
      </c>
      <c r="AL708" s="2">
        <f t="shared" si="78"/>
        <v>0</v>
      </c>
      <c r="AM708" s="2">
        <f t="shared" si="79"/>
        <v>0</v>
      </c>
      <c r="AN708" s="2">
        <f t="shared" si="80"/>
        <v>0</v>
      </c>
    </row>
    <row r="709" spans="1:40" x14ac:dyDescent="0.25">
      <c r="A709" s="16"/>
      <c r="B709" s="27"/>
      <c r="C709" s="9"/>
      <c r="D709" s="6"/>
      <c r="E709" s="1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2">
        <f t="shared" si="75"/>
        <v>0</v>
      </c>
      <c r="AJ709" s="2">
        <f t="shared" si="76"/>
        <v>0</v>
      </c>
      <c r="AK709" s="2">
        <f t="shared" si="77"/>
        <v>0</v>
      </c>
      <c r="AL709" s="2">
        <f t="shared" si="78"/>
        <v>0</v>
      </c>
      <c r="AM709" s="2">
        <f t="shared" si="79"/>
        <v>0</v>
      </c>
      <c r="AN709" s="2">
        <f t="shared" si="80"/>
        <v>0</v>
      </c>
    </row>
    <row r="710" spans="1:40" x14ac:dyDescent="0.25">
      <c r="A710" s="16"/>
      <c r="B710" s="27"/>
      <c r="C710" s="9"/>
      <c r="D710" s="6"/>
      <c r="E710" s="1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2">
        <f t="shared" si="75"/>
        <v>0</v>
      </c>
      <c r="AJ710" s="2">
        <f t="shared" si="76"/>
        <v>0</v>
      </c>
      <c r="AK710" s="2">
        <f t="shared" si="77"/>
        <v>0</v>
      </c>
      <c r="AL710" s="2">
        <f t="shared" si="78"/>
        <v>0</v>
      </c>
      <c r="AM710" s="2">
        <f t="shared" si="79"/>
        <v>0</v>
      </c>
      <c r="AN710" s="2">
        <f t="shared" si="80"/>
        <v>0</v>
      </c>
    </row>
    <row r="711" spans="1:40" x14ac:dyDescent="0.25">
      <c r="A711" s="16"/>
      <c r="B711" s="27"/>
      <c r="C711" s="9"/>
      <c r="D711" s="6"/>
      <c r="E711" s="1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2">
        <f t="shared" si="75"/>
        <v>0</v>
      </c>
      <c r="AJ711" s="2">
        <f t="shared" si="76"/>
        <v>0</v>
      </c>
      <c r="AK711" s="2">
        <f t="shared" si="77"/>
        <v>0</v>
      </c>
      <c r="AL711" s="2">
        <f t="shared" si="78"/>
        <v>0</v>
      </c>
      <c r="AM711" s="2">
        <f t="shared" si="79"/>
        <v>0</v>
      </c>
      <c r="AN711" s="2">
        <f t="shared" si="80"/>
        <v>0</v>
      </c>
    </row>
    <row r="712" spans="1:40" x14ac:dyDescent="0.25">
      <c r="A712" s="16"/>
      <c r="B712" s="27"/>
      <c r="C712" s="9"/>
      <c r="D712" s="6"/>
      <c r="E712" s="1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2">
        <f t="shared" ref="AI712:AI775" si="81">H712-AG712+AH712</f>
        <v>0</v>
      </c>
      <c r="AJ712" s="2">
        <f t="shared" ref="AJ712:AJ775" si="82">SUM(I712:T712)</f>
        <v>0</v>
      </c>
      <c r="AK712" s="2">
        <f t="shared" ref="AK712:AK775" si="83">SUM(U712:AF712)</f>
        <v>0</v>
      </c>
      <c r="AL712" s="2">
        <f t="shared" si="78"/>
        <v>0</v>
      </c>
      <c r="AM712" s="2">
        <f t="shared" si="79"/>
        <v>0</v>
      </c>
      <c r="AN712" s="2">
        <f t="shared" si="80"/>
        <v>0</v>
      </c>
    </row>
    <row r="713" spans="1:40" x14ac:dyDescent="0.25">
      <c r="A713" s="16"/>
      <c r="B713" s="27"/>
      <c r="C713" s="9"/>
      <c r="D713" s="6"/>
      <c r="E713" s="1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2">
        <f t="shared" si="81"/>
        <v>0</v>
      </c>
      <c r="AJ713" s="2">
        <f t="shared" si="82"/>
        <v>0</v>
      </c>
      <c r="AK713" s="2">
        <f t="shared" si="83"/>
        <v>0</v>
      </c>
      <c r="AL713" s="2">
        <f t="shared" si="78"/>
        <v>0</v>
      </c>
      <c r="AM713" s="2">
        <f t="shared" si="79"/>
        <v>0</v>
      </c>
      <c r="AN713" s="2">
        <f t="shared" si="80"/>
        <v>0</v>
      </c>
    </row>
    <row r="714" spans="1:40" x14ac:dyDescent="0.25">
      <c r="A714" s="16"/>
      <c r="B714" s="27"/>
      <c r="C714" s="9"/>
      <c r="D714" s="6"/>
      <c r="E714" s="1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2">
        <f t="shared" si="81"/>
        <v>0</v>
      </c>
      <c r="AJ714" s="2">
        <f t="shared" si="82"/>
        <v>0</v>
      </c>
      <c r="AK714" s="2">
        <f t="shared" si="83"/>
        <v>0</v>
      </c>
      <c r="AL714" s="2">
        <f t="shared" si="78"/>
        <v>0</v>
      </c>
      <c r="AM714" s="2">
        <f t="shared" si="79"/>
        <v>0</v>
      </c>
      <c r="AN714" s="2">
        <f t="shared" si="80"/>
        <v>0</v>
      </c>
    </row>
    <row r="715" spans="1:40" x14ac:dyDescent="0.25">
      <c r="A715" s="16"/>
      <c r="B715" s="27"/>
      <c r="C715" s="9"/>
      <c r="D715" s="6"/>
      <c r="E715" s="1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2">
        <f t="shared" si="81"/>
        <v>0</v>
      </c>
      <c r="AJ715" s="2">
        <f t="shared" si="82"/>
        <v>0</v>
      </c>
      <c r="AK715" s="2">
        <f t="shared" si="83"/>
        <v>0</v>
      </c>
      <c r="AL715" s="2">
        <f t="shared" si="78"/>
        <v>0</v>
      </c>
      <c r="AM715" s="2">
        <f t="shared" si="79"/>
        <v>0</v>
      </c>
      <c r="AN715" s="2">
        <f t="shared" si="80"/>
        <v>0</v>
      </c>
    </row>
    <row r="716" spans="1:40" x14ac:dyDescent="0.25">
      <c r="A716" s="16"/>
      <c r="B716" s="27"/>
      <c r="C716" s="9"/>
      <c r="D716" s="6"/>
      <c r="E716" s="1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2">
        <f t="shared" si="81"/>
        <v>0</v>
      </c>
      <c r="AJ716" s="2">
        <f t="shared" si="82"/>
        <v>0</v>
      </c>
      <c r="AK716" s="2">
        <f t="shared" si="83"/>
        <v>0</v>
      </c>
      <c r="AL716" s="2">
        <f t="shared" si="78"/>
        <v>0</v>
      </c>
      <c r="AM716" s="2">
        <f t="shared" si="79"/>
        <v>0</v>
      </c>
      <c r="AN716" s="2">
        <f t="shared" si="80"/>
        <v>0</v>
      </c>
    </row>
    <row r="717" spans="1:40" x14ac:dyDescent="0.25">
      <c r="A717" s="16"/>
      <c r="B717" s="27"/>
      <c r="C717" s="9"/>
      <c r="D717" s="6"/>
      <c r="E717" s="1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2">
        <f t="shared" si="81"/>
        <v>0</v>
      </c>
      <c r="AJ717" s="2">
        <f t="shared" si="82"/>
        <v>0</v>
      </c>
      <c r="AK717" s="2">
        <f t="shared" si="83"/>
        <v>0</v>
      </c>
      <c r="AL717" s="2">
        <f t="shared" si="78"/>
        <v>0</v>
      </c>
      <c r="AM717" s="2">
        <f t="shared" si="79"/>
        <v>0</v>
      </c>
      <c r="AN717" s="2">
        <f t="shared" si="80"/>
        <v>0</v>
      </c>
    </row>
    <row r="718" spans="1:40" x14ac:dyDescent="0.25">
      <c r="A718" s="16"/>
      <c r="B718" s="27"/>
      <c r="C718" s="9"/>
      <c r="D718" s="6"/>
      <c r="E718" s="1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2">
        <f t="shared" si="81"/>
        <v>0</v>
      </c>
      <c r="AJ718" s="2">
        <f t="shared" si="82"/>
        <v>0</v>
      </c>
      <c r="AK718" s="2">
        <f t="shared" si="83"/>
        <v>0</v>
      </c>
      <c r="AL718" s="2">
        <f t="shared" si="78"/>
        <v>0</v>
      </c>
      <c r="AM718" s="2">
        <f t="shared" si="79"/>
        <v>0</v>
      </c>
      <c r="AN718" s="2">
        <f t="shared" si="80"/>
        <v>0</v>
      </c>
    </row>
    <row r="719" spans="1:40" x14ac:dyDescent="0.25">
      <c r="A719" s="16"/>
      <c r="B719" s="27"/>
      <c r="C719" s="9"/>
      <c r="D719" s="6"/>
      <c r="E719" s="1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2">
        <f t="shared" si="81"/>
        <v>0</v>
      </c>
      <c r="AJ719" s="2">
        <f t="shared" si="82"/>
        <v>0</v>
      </c>
      <c r="AK719" s="2">
        <f t="shared" si="83"/>
        <v>0</v>
      </c>
      <c r="AL719" s="2">
        <f t="shared" si="78"/>
        <v>0</v>
      </c>
      <c r="AM719" s="2">
        <f t="shared" si="79"/>
        <v>0</v>
      </c>
      <c r="AN719" s="2">
        <f t="shared" si="80"/>
        <v>0</v>
      </c>
    </row>
    <row r="720" spans="1:40" x14ac:dyDescent="0.25">
      <c r="A720" s="16"/>
      <c r="B720" s="27"/>
      <c r="C720" s="9"/>
      <c r="D720" s="6"/>
      <c r="E720" s="1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2">
        <f t="shared" si="81"/>
        <v>0</v>
      </c>
      <c r="AJ720" s="2">
        <f t="shared" si="82"/>
        <v>0</v>
      </c>
      <c r="AK720" s="2">
        <f t="shared" si="83"/>
        <v>0</v>
      </c>
      <c r="AL720" s="2">
        <f t="shared" si="78"/>
        <v>0</v>
      </c>
      <c r="AM720" s="2">
        <f t="shared" si="79"/>
        <v>0</v>
      </c>
      <c r="AN720" s="2">
        <f t="shared" si="80"/>
        <v>0</v>
      </c>
    </row>
    <row r="721" spans="1:40" x14ac:dyDescent="0.25">
      <c r="A721" s="16"/>
      <c r="B721" s="27"/>
      <c r="C721" s="9"/>
      <c r="D721" s="6"/>
      <c r="E721" s="1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2">
        <f t="shared" si="81"/>
        <v>0</v>
      </c>
      <c r="AJ721" s="2">
        <f t="shared" si="82"/>
        <v>0</v>
      </c>
      <c r="AK721" s="2">
        <f t="shared" si="83"/>
        <v>0</v>
      </c>
      <c r="AL721" s="2">
        <f t="shared" si="78"/>
        <v>0</v>
      </c>
      <c r="AM721" s="2">
        <f t="shared" si="79"/>
        <v>0</v>
      </c>
      <c r="AN721" s="2">
        <f t="shared" si="80"/>
        <v>0</v>
      </c>
    </row>
    <row r="722" spans="1:40" x14ac:dyDescent="0.25">
      <c r="A722" s="16"/>
      <c r="B722" s="27"/>
      <c r="C722" s="9"/>
      <c r="D722" s="6"/>
      <c r="E722" s="1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2">
        <f t="shared" si="81"/>
        <v>0</v>
      </c>
      <c r="AJ722" s="2">
        <f t="shared" si="82"/>
        <v>0</v>
      </c>
      <c r="AK722" s="2">
        <f t="shared" si="83"/>
        <v>0</v>
      </c>
      <c r="AL722" s="2">
        <f t="shared" si="78"/>
        <v>0</v>
      </c>
      <c r="AM722" s="2">
        <f t="shared" si="79"/>
        <v>0</v>
      </c>
      <c r="AN722" s="2">
        <f t="shared" si="80"/>
        <v>0</v>
      </c>
    </row>
    <row r="723" spans="1:40" x14ac:dyDescent="0.25">
      <c r="A723" s="16"/>
      <c r="B723" s="27"/>
      <c r="C723" s="9"/>
      <c r="D723" s="6"/>
      <c r="E723" s="1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2">
        <f t="shared" si="81"/>
        <v>0</v>
      </c>
      <c r="AJ723" s="2">
        <f t="shared" si="82"/>
        <v>0</v>
      </c>
      <c r="AK723" s="2">
        <f t="shared" si="83"/>
        <v>0</v>
      </c>
      <c r="AL723" s="2">
        <f t="shared" si="78"/>
        <v>0</v>
      </c>
      <c r="AM723" s="2">
        <f t="shared" si="79"/>
        <v>0</v>
      </c>
      <c r="AN723" s="2">
        <f t="shared" si="80"/>
        <v>0</v>
      </c>
    </row>
    <row r="724" spans="1:40" x14ac:dyDescent="0.25">
      <c r="A724" s="16"/>
      <c r="B724" s="27"/>
      <c r="C724" s="9"/>
      <c r="D724" s="6"/>
      <c r="E724" s="1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2">
        <f t="shared" si="81"/>
        <v>0</v>
      </c>
      <c r="AJ724" s="2">
        <f t="shared" si="82"/>
        <v>0</v>
      </c>
      <c r="AK724" s="2">
        <f t="shared" si="83"/>
        <v>0</v>
      </c>
      <c r="AL724" s="2">
        <f t="shared" si="78"/>
        <v>0</v>
      </c>
      <c r="AM724" s="2">
        <f t="shared" si="79"/>
        <v>0</v>
      </c>
      <c r="AN724" s="2">
        <f t="shared" si="80"/>
        <v>0</v>
      </c>
    </row>
    <row r="725" spans="1:40" x14ac:dyDescent="0.25">
      <c r="A725" s="16"/>
      <c r="B725" s="27"/>
      <c r="C725" s="9"/>
      <c r="D725" s="6"/>
      <c r="E725" s="1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2">
        <f t="shared" si="81"/>
        <v>0</v>
      </c>
      <c r="AJ725" s="2">
        <f t="shared" si="82"/>
        <v>0</v>
      </c>
      <c r="AK725" s="2">
        <f t="shared" si="83"/>
        <v>0</v>
      </c>
      <c r="AL725" s="2">
        <f t="shared" si="78"/>
        <v>0</v>
      </c>
      <c r="AM725" s="2">
        <f t="shared" si="79"/>
        <v>0</v>
      </c>
      <c r="AN725" s="2">
        <f t="shared" si="80"/>
        <v>0</v>
      </c>
    </row>
    <row r="726" spans="1:40" x14ac:dyDescent="0.25">
      <c r="A726" s="16"/>
      <c r="B726" s="27"/>
      <c r="C726" s="9"/>
      <c r="D726" s="6"/>
      <c r="E726" s="1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2">
        <f t="shared" si="81"/>
        <v>0</v>
      </c>
      <c r="AJ726" s="2">
        <f t="shared" si="82"/>
        <v>0</v>
      </c>
      <c r="AK726" s="2">
        <f t="shared" si="83"/>
        <v>0</v>
      </c>
      <c r="AL726" s="2">
        <f t="shared" si="78"/>
        <v>0</v>
      </c>
      <c r="AM726" s="2">
        <f t="shared" si="79"/>
        <v>0</v>
      </c>
      <c r="AN726" s="2">
        <f t="shared" si="80"/>
        <v>0</v>
      </c>
    </row>
    <row r="727" spans="1:40" x14ac:dyDescent="0.25">
      <c r="A727" s="16"/>
      <c r="B727" s="27"/>
      <c r="C727" s="9"/>
      <c r="D727" s="6"/>
      <c r="E727" s="1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2">
        <f t="shared" si="81"/>
        <v>0</v>
      </c>
      <c r="AJ727" s="2">
        <f t="shared" si="82"/>
        <v>0</v>
      </c>
      <c r="AK727" s="2">
        <f t="shared" si="83"/>
        <v>0</v>
      </c>
      <c r="AL727" s="2">
        <f t="shared" si="78"/>
        <v>0</v>
      </c>
      <c r="AM727" s="2">
        <f t="shared" si="79"/>
        <v>0</v>
      </c>
      <c r="AN727" s="2">
        <f t="shared" si="80"/>
        <v>0</v>
      </c>
    </row>
    <row r="728" spans="1:40" x14ac:dyDescent="0.25">
      <c r="A728" s="16"/>
      <c r="B728" s="27"/>
      <c r="C728" s="9"/>
      <c r="D728" s="6"/>
      <c r="E728" s="1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2">
        <f t="shared" si="81"/>
        <v>0</v>
      </c>
      <c r="AJ728" s="2">
        <f t="shared" si="82"/>
        <v>0</v>
      </c>
      <c r="AK728" s="2">
        <f t="shared" si="83"/>
        <v>0</v>
      </c>
      <c r="AL728" s="2">
        <f t="shared" si="78"/>
        <v>0</v>
      </c>
      <c r="AM728" s="2">
        <f t="shared" si="79"/>
        <v>0</v>
      </c>
      <c r="AN728" s="2">
        <f t="shared" si="80"/>
        <v>0</v>
      </c>
    </row>
    <row r="729" spans="1:40" x14ac:dyDescent="0.25">
      <c r="A729" s="16"/>
      <c r="B729" s="27"/>
      <c r="C729" s="9"/>
      <c r="D729" s="6"/>
      <c r="E729" s="1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2">
        <f t="shared" si="81"/>
        <v>0</v>
      </c>
      <c r="AJ729" s="2">
        <f t="shared" si="82"/>
        <v>0</v>
      </c>
      <c r="AK729" s="2">
        <f t="shared" si="83"/>
        <v>0</v>
      </c>
      <c r="AL729" s="2">
        <f t="shared" si="78"/>
        <v>0</v>
      </c>
      <c r="AM729" s="2">
        <f t="shared" si="79"/>
        <v>0</v>
      </c>
      <c r="AN729" s="2">
        <f t="shared" si="80"/>
        <v>0</v>
      </c>
    </row>
    <row r="730" spans="1:40" x14ac:dyDescent="0.25">
      <c r="A730" s="16"/>
      <c r="B730" s="27"/>
      <c r="C730" s="9"/>
      <c r="D730" s="6"/>
      <c r="E730" s="1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2">
        <f t="shared" si="81"/>
        <v>0</v>
      </c>
      <c r="AJ730" s="2">
        <f t="shared" si="82"/>
        <v>0</v>
      </c>
      <c r="AK730" s="2">
        <f t="shared" si="83"/>
        <v>0</v>
      </c>
      <c r="AL730" s="2">
        <f t="shared" si="78"/>
        <v>0</v>
      </c>
      <c r="AM730" s="2">
        <f t="shared" si="79"/>
        <v>0</v>
      </c>
      <c r="AN730" s="2">
        <f t="shared" si="80"/>
        <v>0</v>
      </c>
    </row>
    <row r="731" spans="1:40" x14ac:dyDescent="0.25">
      <c r="A731" s="16"/>
      <c r="B731" s="27"/>
      <c r="C731" s="9"/>
      <c r="D731" s="6"/>
      <c r="E731" s="1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2">
        <f t="shared" si="81"/>
        <v>0</v>
      </c>
      <c r="AJ731" s="2">
        <f t="shared" si="82"/>
        <v>0</v>
      </c>
      <c r="AK731" s="2">
        <f t="shared" si="83"/>
        <v>0</v>
      </c>
      <c r="AL731" s="2">
        <f t="shared" si="78"/>
        <v>0</v>
      </c>
      <c r="AM731" s="2">
        <f t="shared" si="79"/>
        <v>0</v>
      </c>
      <c r="AN731" s="2">
        <f t="shared" si="80"/>
        <v>0</v>
      </c>
    </row>
    <row r="732" spans="1:40" x14ac:dyDescent="0.25">
      <c r="A732" s="16"/>
      <c r="B732" s="27"/>
      <c r="C732" s="9"/>
      <c r="D732" s="6"/>
      <c r="E732" s="1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2">
        <f t="shared" si="81"/>
        <v>0</v>
      </c>
      <c r="AJ732" s="2">
        <f t="shared" si="82"/>
        <v>0</v>
      </c>
      <c r="AK732" s="2">
        <f t="shared" si="83"/>
        <v>0</v>
      </c>
      <c r="AL732" s="2">
        <f t="shared" si="78"/>
        <v>0</v>
      </c>
      <c r="AM732" s="2">
        <f t="shared" si="79"/>
        <v>0</v>
      </c>
      <c r="AN732" s="2">
        <f t="shared" si="80"/>
        <v>0</v>
      </c>
    </row>
    <row r="733" spans="1:40" x14ac:dyDescent="0.25">
      <c r="A733" s="16"/>
      <c r="B733" s="27"/>
      <c r="C733" s="9"/>
      <c r="D733" s="6"/>
      <c r="E733" s="1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2">
        <f t="shared" si="81"/>
        <v>0</v>
      </c>
      <c r="AJ733" s="2">
        <f t="shared" si="82"/>
        <v>0</v>
      </c>
      <c r="AK733" s="2">
        <f t="shared" si="83"/>
        <v>0</v>
      </c>
      <c r="AL733" s="2">
        <f t="shared" si="78"/>
        <v>0</v>
      </c>
      <c r="AM733" s="2">
        <f t="shared" si="79"/>
        <v>0</v>
      </c>
      <c r="AN733" s="2">
        <f t="shared" si="80"/>
        <v>0</v>
      </c>
    </row>
    <row r="734" spans="1:40" x14ac:dyDescent="0.25">
      <c r="A734" s="16"/>
      <c r="B734" s="27"/>
      <c r="C734" s="9"/>
      <c r="D734" s="6"/>
      <c r="E734" s="1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2">
        <f t="shared" si="81"/>
        <v>0</v>
      </c>
      <c r="AJ734" s="2">
        <f t="shared" si="82"/>
        <v>0</v>
      </c>
      <c r="AK734" s="2">
        <f t="shared" si="83"/>
        <v>0</v>
      </c>
      <c r="AL734" s="2">
        <f t="shared" si="78"/>
        <v>0</v>
      </c>
      <c r="AM734" s="2">
        <f t="shared" si="79"/>
        <v>0</v>
      </c>
      <c r="AN734" s="2">
        <f t="shared" si="80"/>
        <v>0</v>
      </c>
    </row>
    <row r="735" spans="1:40" x14ac:dyDescent="0.25">
      <c r="A735" s="16"/>
      <c r="B735" s="27"/>
      <c r="C735" s="9"/>
      <c r="D735" s="6"/>
      <c r="E735" s="1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2">
        <f t="shared" si="81"/>
        <v>0</v>
      </c>
      <c r="AJ735" s="2">
        <f t="shared" si="82"/>
        <v>0</v>
      </c>
      <c r="AK735" s="2">
        <f t="shared" si="83"/>
        <v>0</v>
      </c>
      <c r="AL735" s="2">
        <f t="shared" si="78"/>
        <v>0</v>
      </c>
      <c r="AM735" s="2">
        <f t="shared" si="79"/>
        <v>0</v>
      </c>
      <c r="AN735" s="2">
        <f t="shared" si="80"/>
        <v>0</v>
      </c>
    </row>
    <row r="736" spans="1:40" x14ac:dyDescent="0.25">
      <c r="A736" s="16"/>
      <c r="B736" s="27"/>
      <c r="C736" s="9"/>
      <c r="D736" s="6"/>
      <c r="E736" s="1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2">
        <f t="shared" si="81"/>
        <v>0</v>
      </c>
      <c r="AJ736" s="2">
        <f t="shared" si="82"/>
        <v>0</v>
      </c>
      <c r="AK736" s="2">
        <f t="shared" si="83"/>
        <v>0</v>
      </c>
      <c r="AL736" s="2">
        <f t="shared" si="78"/>
        <v>0</v>
      </c>
      <c r="AM736" s="2">
        <f t="shared" si="79"/>
        <v>0</v>
      </c>
      <c r="AN736" s="2">
        <f t="shared" si="80"/>
        <v>0</v>
      </c>
    </row>
    <row r="737" spans="1:40" x14ac:dyDescent="0.25">
      <c r="A737" s="16"/>
      <c r="B737" s="27"/>
      <c r="C737" s="9"/>
      <c r="D737" s="6"/>
      <c r="E737" s="1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2">
        <f t="shared" si="81"/>
        <v>0</v>
      </c>
      <c r="AJ737" s="2">
        <f t="shared" si="82"/>
        <v>0</v>
      </c>
      <c r="AK737" s="2">
        <f t="shared" si="83"/>
        <v>0</v>
      </c>
      <c r="AL737" s="2">
        <f t="shared" si="78"/>
        <v>0</v>
      </c>
      <c r="AM737" s="2">
        <f t="shared" si="79"/>
        <v>0</v>
      </c>
      <c r="AN737" s="2">
        <f t="shared" si="80"/>
        <v>0</v>
      </c>
    </row>
    <row r="738" spans="1:40" x14ac:dyDescent="0.25">
      <c r="A738" s="16"/>
      <c r="B738" s="27"/>
      <c r="C738" s="9"/>
      <c r="D738" s="6"/>
      <c r="E738" s="1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2">
        <f t="shared" si="81"/>
        <v>0</v>
      </c>
      <c r="AJ738" s="2">
        <f t="shared" si="82"/>
        <v>0</v>
      </c>
      <c r="AK738" s="2">
        <f t="shared" si="83"/>
        <v>0</v>
      </c>
      <c r="AL738" s="2">
        <f t="shared" si="78"/>
        <v>0</v>
      </c>
      <c r="AM738" s="2">
        <f t="shared" si="79"/>
        <v>0</v>
      </c>
      <c r="AN738" s="2">
        <f t="shared" si="80"/>
        <v>0</v>
      </c>
    </row>
    <row r="739" spans="1:40" x14ac:dyDescent="0.25">
      <c r="A739" s="16"/>
      <c r="B739" s="27"/>
      <c r="C739" s="9"/>
      <c r="D739" s="6"/>
      <c r="E739" s="1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2">
        <f t="shared" si="81"/>
        <v>0</v>
      </c>
      <c r="AJ739" s="2">
        <f t="shared" si="82"/>
        <v>0</v>
      </c>
      <c r="AK739" s="2">
        <f t="shared" si="83"/>
        <v>0</v>
      </c>
      <c r="AL739" s="2">
        <f t="shared" si="78"/>
        <v>0</v>
      </c>
      <c r="AM739" s="2">
        <f t="shared" si="79"/>
        <v>0</v>
      </c>
      <c r="AN739" s="2">
        <f t="shared" si="80"/>
        <v>0</v>
      </c>
    </row>
    <row r="740" spans="1:40" x14ac:dyDescent="0.25">
      <c r="A740" s="16"/>
      <c r="B740" s="27"/>
      <c r="C740" s="9"/>
      <c r="D740" s="6"/>
      <c r="E740" s="1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2">
        <f t="shared" si="81"/>
        <v>0</v>
      </c>
      <c r="AJ740" s="2">
        <f t="shared" si="82"/>
        <v>0</v>
      </c>
      <c r="AK740" s="2">
        <f t="shared" si="83"/>
        <v>0</v>
      </c>
      <c r="AL740" s="2">
        <f t="shared" si="78"/>
        <v>0</v>
      </c>
      <c r="AM740" s="2">
        <f t="shared" si="79"/>
        <v>0</v>
      </c>
      <c r="AN740" s="2">
        <f t="shared" si="80"/>
        <v>0</v>
      </c>
    </row>
    <row r="741" spans="1:40" x14ac:dyDescent="0.25">
      <c r="A741" s="16"/>
      <c r="B741" s="27"/>
      <c r="C741" s="9"/>
      <c r="D741" s="6"/>
      <c r="E741" s="1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2">
        <f t="shared" si="81"/>
        <v>0</v>
      </c>
      <c r="AJ741" s="2">
        <f t="shared" si="82"/>
        <v>0</v>
      </c>
      <c r="AK741" s="2">
        <f t="shared" si="83"/>
        <v>0</v>
      </c>
      <c r="AL741" s="2">
        <f t="shared" si="78"/>
        <v>0</v>
      </c>
      <c r="AM741" s="2">
        <f t="shared" si="79"/>
        <v>0</v>
      </c>
      <c r="AN741" s="2">
        <f t="shared" si="80"/>
        <v>0</v>
      </c>
    </row>
    <row r="742" spans="1:40" x14ac:dyDescent="0.25">
      <c r="A742" s="16"/>
      <c r="B742" s="27"/>
      <c r="C742" s="9"/>
      <c r="D742" s="6"/>
      <c r="E742" s="1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2">
        <f t="shared" si="81"/>
        <v>0</v>
      </c>
      <c r="AJ742" s="2">
        <f t="shared" si="82"/>
        <v>0</v>
      </c>
      <c r="AK742" s="2">
        <f t="shared" si="83"/>
        <v>0</v>
      </c>
      <c r="AL742" s="2">
        <f t="shared" si="78"/>
        <v>0</v>
      </c>
      <c r="AM742" s="2">
        <f t="shared" si="79"/>
        <v>0</v>
      </c>
      <c r="AN742" s="2">
        <f t="shared" si="80"/>
        <v>0</v>
      </c>
    </row>
    <row r="743" spans="1:40" x14ac:dyDescent="0.25">
      <c r="A743" s="16"/>
      <c r="B743" s="27"/>
      <c r="C743" s="9"/>
      <c r="D743" s="6"/>
      <c r="E743" s="1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2">
        <f t="shared" si="81"/>
        <v>0</v>
      </c>
      <c r="AJ743" s="2">
        <f t="shared" si="82"/>
        <v>0</v>
      </c>
      <c r="AK743" s="2">
        <f t="shared" si="83"/>
        <v>0</v>
      </c>
      <c r="AL743" s="2">
        <f t="shared" si="78"/>
        <v>0</v>
      </c>
      <c r="AM743" s="2">
        <f t="shared" si="79"/>
        <v>0</v>
      </c>
      <c r="AN743" s="2">
        <f t="shared" si="80"/>
        <v>0</v>
      </c>
    </row>
    <row r="744" spans="1:40" x14ac:dyDescent="0.25">
      <c r="A744" s="16"/>
      <c r="B744" s="27"/>
      <c r="C744" s="9"/>
      <c r="D744" s="6"/>
      <c r="E744" s="1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2">
        <f t="shared" si="81"/>
        <v>0</v>
      </c>
      <c r="AJ744" s="2">
        <f t="shared" si="82"/>
        <v>0</v>
      </c>
      <c r="AK744" s="2">
        <f t="shared" si="83"/>
        <v>0</v>
      </c>
      <c r="AL744" s="2">
        <f t="shared" si="78"/>
        <v>0</v>
      </c>
      <c r="AM744" s="2">
        <f t="shared" si="79"/>
        <v>0</v>
      </c>
      <c r="AN744" s="2">
        <f t="shared" si="80"/>
        <v>0</v>
      </c>
    </row>
    <row r="745" spans="1:40" x14ac:dyDescent="0.25">
      <c r="A745" s="16"/>
      <c r="B745" s="27"/>
      <c r="C745" s="9"/>
      <c r="D745" s="6"/>
      <c r="E745" s="1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2">
        <f t="shared" si="81"/>
        <v>0</v>
      </c>
      <c r="AJ745" s="2">
        <f t="shared" si="82"/>
        <v>0</v>
      </c>
      <c r="AK745" s="2">
        <f t="shared" si="83"/>
        <v>0</v>
      </c>
      <c r="AL745" s="2">
        <f t="shared" si="78"/>
        <v>0</v>
      </c>
      <c r="AM745" s="2">
        <f t="shared" si="79"/>
        <v>0</v>
      </c>
      <c r="AN745" s="2">
        <f t="shared" si="80"/>
        <v>0</v>
      </c>
    </row>
    <row r="746" spans="1:40" x14ac:dyDescent="0.25">
      <c r="A746" s="16"/>
      <c r="B746" s="27"/>
      <c r="C746" s="9"/>
      <c r="D746" s="6"/>
      <c r="E746" s="1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2">
        <f t="shared" si="81"/>
        <v>0</v>
      </c>
      <c r="AJ746" s="2">
        <f t="shared" si="82"/>
        <v>0</v>
      </c>
      <c r="AK746" s="2">
        <f t="shared" si="83"/>
        <v>0</v>
      </c>
      <c r="AL746" s="2">
        <f t="shared" si="78"/>
        <v>0</v>
      </c>
      <c r="AM746" s="2">
        <f t="shared" si="79"/>
        <v>0</v>
      </c>
      <c r="AN746" s="2">
        <f t="shared" si="80"/>
        <v>0</v>
      </c>
    </row>
    <row r="747" spans="1:40" x14ac:dyDescent="0.25">
      <c r="A747" s="16"/>
      <c r="B747" s="27"/>
      <c r="C747" s="9"/>
      <c r="D747" s="6"/>
      <c r="E747" s="1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2">
        <f t="shared" si="81"/>
        <v>0</v>
      </c>
      <c r="AJ747" s="2">
        <f t="shared" si="82"/>
        <v>0</v>
      </c>
      <c r="AK747" s="2">
        <f t="shared" si="83"/>
        <v>0</v>
      </c>
      <c r="AL747" s="2">
        <f t="shared" si="78"/>
        <v>0</v>
      </c>
      <c r="AM747" s="2">
        <f t="shared" si="79"/>
        <v>0</v>
      </c>
      <c r="AN747" s="2">
        <f t="shared" si="80"/>
        <v>0</v>
      </c>
    </row>
    <row r="748" spans="1:40" x14ac:dyDescent="0.25">
      <c r="A748" s="16"/>
      <c r="B748" s="27"/>
      <c r="C748" s="9"/>
      <c r="D748" s="6"/>
      <c r="E748" s="1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2">
        <f t="shared" si="81"/>
        <v>0</v>
      </c>
      <c r="AJ748" s="2">
        <f t="shared" si="82"/>
        <v>0</v>
      </c>
      <c r="AK748" s="2">
        <f t="shared" si="83"/>
        <v>0</v>
      </c>
      <c r="AL748" s="2">
        <f t="shared" si="78"/>
        <v>0</v>
      </c>
      <c r="AM748" s="2">
        <f t="shared" si="79"/>
        <v>0</v>
      </c>
      <c r="AN748" s="2">
        <f t="shared" si="80"/>
        <v>0</v>
      </c>
    </row>
    <row r="749" spans="1:40" x14ac:dyDescent="0.25">
      <c r="A749" s="16"/>
      <c r="B749" s="27"/>
      <c r="C749" s="9"/>
      <c r="D749" s="6"/>
      <c r="E749" s="1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2">
        <f t="shared" si="81"/>
        <v>0</v>
      </c>
      <c r="AJ749" s="2">
        <f t="shared" si="82"/>
        <v>0</v>
      </c>
      <c r="AK749" s="2">
        <f t="shared" si="83"/>
        <v>0</v>
      </c>
      <c r="AL749" s="2">
        <f t="shared" si="78"/>
        <v>0</v>
      </c>
      <c r="AM749" s="2">
        <f t="shared" si="79"/>
        <v>0</v>
      </c>
      <c r="AN749" s="2">
        <f t="shared" si="80"/>
        <v>0</v>
      </c>
    </row>
    <row r="750" spans="1:40" x14ac:dyDescent="0.25">
      <c r="A750" s="16"/>
      <c r="B750" s="27"/>
      <c r="C750" s="9"/>
      <c r="D750" s="6"/>
      <c r="E750" s="1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2">
        <f t="shared" si="81"/>
        <v>0</v>
      </c>
      <c r="AJ750" s="2">
        <f t="shared" si="82"/>
        <v>0</v>
      </c>
      <c r="AK750" s="2">
        <f t="shared" si="83"/>
        <v>0</v>
      </c>
      <c r="AL750" s="2">
        <f t="shared" si="78"/>
        <v>0</v>
      </c>
      <c r="AM750" s="2">
        <f t="shared" si="79"/>
        <v>0</v>
      </c>
      <c r="AN750" s="2">
        <f t="shared" si="80"/>
        <v>0</v>
      </c>
    </row>
    <row r="751" spans="1:40" x14ac:dyDescent="0.25">
      <c r="A751" s="16"/>
      <c r="B751" s="27"/>
      <c r="C751" s="9"/>
      <c r="D751" s="6"/>
      <c r="E751" s="1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2">
        <f t="shared" si="81"/>
        <v>0</v>
      </c>
      <c r="AJ751" s="2">
        <f t="shared" si="82"/>
        <v>0</v>
      </c>
      <c r="AK751" s="2">
        <f t="shared" si="83"/>
        <v>0</v>
      </c>
      <c r="AL751" s="2">
        <f t="shared" si="78"/>
        <v>0</v>
      </c>
      <c r="AM751" s="2">
        <f t="shared" si="79"/>
        <v>0</v>
      </c>
      <c r="AN751" s="2">
        <f t="shared" si="80"/>
        <v>0</v>
      </c>
    </row>
    <row r="752" spans="1:40" x14ac:dyDescent="0.25">
      <c r="A752" s="16"/>
      <c r="B752" s="27"/>
      <c r="C752" s="9"/>
      <c r="D752" s="6"/>
      <c r="E752" s="1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2">
        <f t="shared" si="81"/>
        <v>0</v>
      </c>
      <c r="AJ752" s="2">
        <f t="shared" si="82"/>
        <v>0</v>
      </c>
      <c r="AK752" s="2">
        <f t="shared" si="83"/>
        <v>0</v>
      </c>
      <c r="AL752" s="2">
        <f t="shared" si="78"/>
        <v>0</v>
      </c>
      <c r="AM752" s="2">
        <f t="shared" si="79"/>
        <v>0</v>
      </c>
      <c r="AN752" s="2">
        <f t="shared" si="80"/>
        <v>0</v>
      </c>
    </row>
    <row r="753" spans="1:40" x14ac:dyDescent="0.25">
      <c r="A753" s="16"/>
      <c r="B753" s="27"/>
      <c r="C753" s="9"/>
      <c r="D753" s="6"/>
      <c r="E753" s="1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2">
        <f t="shared" si="81"/>
        <v>0</v>
      </c>
      <c r="AJ753" s="2">
        <f t="shared" si="82"/>
        <v>0</v>
      </c>
      <c r="AK753" s="2">
        <f t="shared" si="83"/>
        <v>0</v>
      </c>
      <c r="AL753" s="2">
        <f t="shared" si="78"/>
        <v>0</v>
      </c>
      <c r="AM753" s="2">
        <f t="shared" si="79"/>
        <v>0</v>
      </c>
      <c r="AN753" s="2">
        <f t="shared" si="80"/>
        <v>0</v>
      </c>
    </row>
    <row r="754" spans="1:40" x14ac:dyDescent="0.25">
      <c r="A754" s="16"/>
      <c r="B754" s="27"/>
      <c r="C754" s="9"/>
      <c r="D754" s="6"/>
      <c r="E754" s="1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2">
        <f t="shared" si="81"/>
        <v>0</v>
      </c>
      <c r="AJ754" s="2">
        <f t="shared" si="82"/>
        <v>0</v>
      </c>
      <c r="AK754" s="2">
        <f t="shared" si="83"/>
        <v>0</v>
      </c>
      <c r="AL754" s="2">
        <f t="shared" ref="AL754:AL793" si="84">SUM(AJ754-AK754)+(AI754-AJ754)</f>
        <v>0</v>
      </c>
      <c r="AM754" s="2">
        <f t="shared" ref="AM754:AM793" si="85">SUM(AJ754-AK754)</f>
        <v>0</v>
      </c>
      <c r="AN754" s="2">
        <f t="shared" ref="AN754:AN793" si="86">SUM(AI754-AJ754)</f>
        <v>0</v>
      </c>
    </row>
    <row r="755" spans="1:40" x14ac:dyDescent="0.25">
      <c r="A755" s="16"/>
      <c r="B755" s="27"/>
      <c r="C755" s="9"/>
      <c r="D755" s="6"/>
      <c r="E755" s="1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2">
        <f t="shared" si="81"/>
        <v>0</v>
      </c>
      <c r="AJ755" s="2">
        <f t="shared" si="82"/>
        <v>0</v>
      </c>
      <c r="AK755" s="2">
        <f t="shared" si="83"/>
        <v>0</v>
      </c>
      <c r="AL755" s="2">
        <f t="shared" si="84"/>
        <v>0</v>
      </c>
      <c r="AM755" s="2">
        <f t="shared" si="85"/>
        <v>0</v>
      </c>
      <c r="AN755" s="2">
        <f t="shared" si="86"/>
        <v>0</v>
      </c>
    </row>
    <row r="756" spans="1:40" x14ac:dyDescent="0.25">
      <c r="A756" s="16"/>
      <c r="B756" s="27"/>
      <c r="C756" s="9"/>
      <c r="D756" s="6"/>
      <c r="E756" s="1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2">
        <f t="shared" si="81"/>
        <v>0</v>
      </c>
      <c r="AJ756" s="2">
        <f t="shared" si="82"/>
        <v>0</v>
      </c>
      <c r="AK756" s="2">
        <f t="shared" si="83"/>
        <v>0</v>
      </c>
      <c r="AL756" s="2">
        <f t="shared" si="84"/>
        <v>0</v>
      </c>
      <c r="AM756" s="2">
        <f t="shared" si="85"/>
        <v>0</v>
      </c>
      <c r="AN756" s="2">
        <f t="shared" si="86"/>
        <v>0</v>
      </c>
    </row>
    <row r="757" spans="1:40" x14ac:dyDescent="0.25">
      <c r="A757" s="16"/>
      <c r="B757" s="27"/>
      <c r="C757" s="9"/>
      <c r="D757" s="6"/>
      <c r="E757" s="1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2">
        <f t="shared" si="81"/>
        <v>0</v>
      </c>
      <c r="AJ757" s="2">
        <f t="shared" si="82"/>
        <v>0</v>
      </c>
      <c r="AK757" s="2">
        <f t="shared" si="83"/>
        <v>0</v>
      </c>
      <c r="AL757" s="2">
        <f t="shared" si="84"/>
        <v>0</v>
      </c>
      <c r="AM757" s="2">
        <f t="shared" si="85"/>
        <v>0</v>
      </c>
      <c r="AN757" s="2">
        <f t="shared" si="86"/>
        <v>0</v>
      </c>
    </row>
    <row r="758" spans="1:40" x14ac:dyDescent="0.25">
      <c r="A758" s="16"/>
      <c r="B758" s="27"/>
      <c r="C758" s="9"/>
      <c r="D758" s="6"/>
      <c r="E758" s="1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2">
        <f t="shared" si="81"/>
        <v>0</v>
      </c>
      <c r="AJ758" s="2">
        <f t="shared" si="82"/>
        <v>0</v>
      </c>
      <c r="AK758" s="2">
        <f t="shared" si="83"/>
        <v>0</v>
      </c>
      <c r="AL758" s="2">
        <f t="shared" si="84"/>
        <v>0</v>
      </c>
      <c r="AM758" s="2">
        <f t="shared" si="85"/>
        <v>0</v>
      </c>
      <c r="AN758" s="2">
        <f t="shared" si="86"/>
        <v>0</v>
      </c>
    </row>
    <row r="759" spans="1:40" x14ac:dyDescent="0.25">
      <c r="A759" s="16"/>
      <c r="B759" s="27"/>
      <c r="C759" s="9"/>
      <c r="D759" s="6"/>
      <c r="E759" s="1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2">
        <f t="shared" si="81"/>
        <v>0</v>
      </c>
      <c r="AJ759" s="2">
        <f t="shared" si="82"/>
        <v>0</v>
      </c>
      <c r="AK759" s="2">
        <f t="shared" si="83"/>
        <v>0</v>
      </c>
      <c r="AL759" s="2">
        <f t="shared" si="84"/>
        <v>0</v>
      </c>
      <c r="AM759" s="2">
        <f t="shared" si="85"/>
        <v>0</v>
      </c>
      <c r="AN759" s="2">
        <f t="shared" si="86"/>
        <v>0</v>
      </c>
    </row>
    <row r="760" spans="1:40" x14ac:dyDescent="0.25">
      <c r="A760" s="16"/>
      <c r="B760" s="27"/>
      <c r="C760" s="9"/>
      <c r="D760" s="6"/>
      <c r="E760" s="1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2">
        <f t="shared" si="81"/>
        <v>0</v>
      </c>
      <c r="AJ760" s="2">
        <f t="shared" si="82"/>
        <v>0</v>
      </c>
      <c r="AK760" s="2">
        <f t="shared" si="83"/>
        <v>0</v>
      </c>
      <c r="AL760" s="2">
        <f t="shared" si="84"/>
        <v>0</v>
      </c>
      <c r="AM760" s="2">
        <f t="shared" si="85"/>
        <v>0</v>
      </c>
      <c r="AN760" s="2">
        <f t="shared" si="86"/>
        <v>0</v>
      </c>
    </row>
    <row r="761" spans="1:40" x14ac:dyDescent="0.25">
      <c r="A761" s="16"/>
      <c r="B761" s="27"/>
      <c r="C761" s="9"/>
      <c r="D761" s="6"/>
      <c r="E761" s="1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2">
        <f t="shared" si="81"/>
        <v>0</v>
      </c>
      <c r="AJ761" s="2">
        <f t="shared" si="82"/>
        <v>0</v>
      </c>
      <c r="AK761" s="2">
        <f t="shared" si="83"/>
        <v>0</v>
      </c>
      <c r="AL761" s="2">
        <f t="shared" si="84"/>
        <v>0</v>
      </c>
      <c r="AM761" s="2">
        <f t="shared" si="85"/>
        <v>0</v>
      </c>
      <c r="AN761" s="2">
        <f t="shared" si="86"/>
        <v>0</v>
      </c>
    </row>
    <row r="762" spans="1:40" x14ac:dyDescent="0.25">
      <c r="A762" s="16"/>
      <c r="B762" s="27"/>
      <c r="C762" s="9"/>
      <c r="D762" s="6"/>
      <c r="E762" s="1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2">
        <f t="shared" si="81"/>
        <v>0</v>
      </c>
      <c r="AJ762" s="2">
        <f t="shared" si="82"/>
        <v>0</v>
      </c>
      <c r="AK762" s="2">
        <f t="shared" si="83"/>
        <v>0</v>
      </c>
      <c r="AL762" s="2">
        <f t="shared" si="84"/>
        <v>0</v>
      </c>
      <c r="AM762" s="2">
        <f t="shared" si="85"/>
        <v>0</v>
      </c>
      <c r="AN762" s="2">
        <f t="shared" si="86"/>
        <v>0</v>
      </c>
    </row>
    <row r="763" spans="1:40" x14ac:dyDescent="0.25">
      <c r="A763" s="16"/>
      <c r="B763" s="27"/>
      <c r="C763" s="9"/>
      <c r="D763" s="6"/>
      <c r="E763" s="1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2">
        <f t="shared" si="81"/>
        <v>0</v>
      </c>
      <c r="AJ763" s="2">
        <f t="shared" si="82"/>
        <v>0</v>
      </c>
      <c r="AK763" s="2">
        <f t="shared" si="83"/>
        <v>0</v>
      </c>
      <c r="AL763" s="2">
        <f t="shared" si="84"/>
        <v>0</v>
      </c>
      <c r="AM763" s="2">
        <f t="shared" si="85"/>
        <v>0</v>
      </c>
      <c r="AN763" s="2">
        <f t="shared" si="86"/>
        <v>0</v>
      </c>
    </row>
    <row r="764" spans="1:40" x14ac:dyDescent="0.25">
      <c r="A764" s="16"/>
      <c r="B764" s="27"/>
      <c r="C764" s="9"/>
      <c r="D764" s="6"/>
      <c r="E764" s="1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2">
        <f t="shared" si="81"/>
        <v>0</v>
      </c>
      <c r="AJ764" s="2">
        <f t="shared" si="82"/>
        <v>0</v>
      </c>
      <c r="AK764" s="2">
        <f t="shared" si="83"/>
        <v>0</v>
      </c>
      <c r="AL764" s="2">
        <f t="shared" si="84"/>
        <v>0</v>
      </c>
      <c r="AM764" s="2">
        <f t="shared" si="85"/>
        <v>0</v>
      </c>
      <c r="AN764" s="2">
        <f t="shared" si="86"/>
        <v>0</v>
      </c>
    </row>
    <row r="765" spans="1:40" x14ac:dyDescent="0.25">
      <c r="A765" s="16"/>
      <c r="B765" s="27"/>
      <c r="C765" s="9"/>
      <c r="D765" s="6"/>
      <c r="E765" s="1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2">
        <f t="shared" si="81"/>
        <v>0</v>
      </c>
      <c r="AJ765" s="2">
        <f t="shared" si="82"/>
        <v>0</v>
      </c>
      <c r="AK765" s="2">
        <f t="shared" si="83"/>
        <v>0</v>
      </c>
      <c r="AL765" s="2">
        <f t="shared" si="84"/>
        <v>0</v>
      </c>
      <c r="AM765" s="2">
        <f t="shared" si="85"/>
        <v>0</v>
      </c>
      <c r="AN765" s="2">
        <f t="shared" si="86"/>
        <v>0</v>
      </c>
    </row>
    <row r="766" spans="1:40" x14ac:dyDescent="0.25">
      <c r="A766" s="16"/>
      <c r="B766" s="27"/>
      <c r="C766" s="9"/>
      <c r="D766" s="6"/>
      <c r="E766" s="1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2">
        <f t="shared" si="81"/>
        <v>0</v>
      </c>
      <c r="AJ766" s="2">
        <f t="shared" si="82"/>
        <v>0</v>
      </c>
      <c r="AK766" s="2">
        <f t="shared" si="83"/>
        <v>0</v>
      </c>
      <c r="AL766" s="2">
        <f t="shared" si="84"/>
        <v>0</v>
      </c>
      <c r="AM766" s="2">
        <f t="shared" si="85"/>
        <v>0</v>
      </c>
      <c r="AN766" s="2">
        <f t="shared" si="86"/>
        <v>0</v>
      </c>
    </row>
    <row r="767" spans="1:40" x14ac:dyDescent="0.25">
      <c r="A767" s="16"/>
      <c r="B767" s="27"/>
      <c r="C767" s="9"/>
      <c r="D767" s="6"/>
      <c r="E767" s="1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2">
        <f t="shared" si="81"/>
        <v>0</v>
      </c>
      <c r="AJ767" s="2">
        <f t="shared" si="82"/>
        <v>0</v>
      </c>
      <c r="AK767" s="2">
        <f t="shared" si="83"/>
        <v>0</v>
      </c>
      <c r="AL767" s="2">
        <f t="shared" si="84"/>
        <v>0</v>
      </c>
      <c r="AM767" s="2">
        <f t="shared" si="85"/>
        <v>0</v>
      </c>
      <c r="AN767" s="2">
        <f t="shared" si="86"/>
        <v>0</v>
      </c>
    </row>
    <row r="768" spans="1:40" x14ac:dyDescent="0.25">
      <c r="A768" s="16"/>
      <c r="B768" s="27"/>
      <c r="C768" s="9"/>
      <c r="D768" s="6"/>
      <c r="E768" s="1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2">
        <f t="shared" si="81"/>
        <v>0</v>
      </c>
      <c r="AJ768" s="2">
        <f t="shared" si="82"/>
        <v>0</v>
      </c>
      <c r="AK768" s="2">
        <f t="shared" si="83"/>
        <v>0</v>
      </c>
      <c r="AL768" s="2">
        <f t="shared" si="84"/>
        <v>0</v>
      </c>
      <c r="AM768" s="2">
        <f t="shared" si="85"/>
        <v>0</v>
      </c>
      <c r="AN768" s="2">
        <f t="shared" si="86"/>
        <v>0</v>
      </c>
    </row>
    <row r="769" spans="1:40" x14ac:dyDescent="0.25">
      <c r="A769" s="16"/>
      <c r="B769" s="27"/>
      <c r="C769" s="9"/>
      <c r="D769" s="6"/>
      <c r="E769" s="1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2">
        <f t="shared" si="81"/>
        <v>0</v>
      </c>
      <c r="AJ769" s="2">
        <f t="shared" si="82"/>
        <v>0</v>
      </c>
      <c r="AK769" s="2">
        <f t="shared" si="83"/>
        <v>0</v>
      </c>
      <c r="AL769" s="2">
        <f t="shared" si="84"/>
        <v>0</v>
      </c>
      <c r="AM769" s="2">
        <f t="shared" si="85"/>
        <v>0</v>
      </c>
      <c r="AN769" s="2">
        <f t="shared" si="86"/>
        <v>0</v>
      </c>
    </row>
    <row r="770" spans="1:40" x14ac:dyDescent="0.25">
      <c r="A770" s="16"/>
      <c r="B770" s="27"/>
      <c r="C770" s="9"/>
      <c r="D770" s="6"/>
      <c r="E770" s="1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2">
        <f t="shared" si="81"/>
        <v>0</v>
      </c>
      <c r="AJ770" s="2">
        <f t="shared" si="82"/>
        <v>0</v>
      </c>
      <c r="AK770" s="2">
        <f t="shared" si="83"/>
        <v>0</v>
      </c>
      <c r="AL770" s="2">
        <f t="shared" si="84"/>
        <v>0</v>
      </c>
      <c r="AM770" s="2">
        <f t="shared" si="85"/>
        <v>0</v>
      </c>
      <c r="AN770" s="2">
        <f t="shared" si="86"/>
        <v>0</v>
      </c>
    </row>
    <row r="771" spans="1:40" x14ac:dyDescent="0.25">
      <c r="A771" s="16"/>
      <c r="B771" s="27"/>
      <c r="C771" s="9"/>
      <c r="D771" s="6"/>
      <c r="E771" s="1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2">
        <f t="shared" si="81"/>
        <v>0</v>
      </c>
      <c r="AJ771" s="2">
        <f t="shared" si="82"/>
        <v>0</v>
      </c>
      <c r="AK771" s="2">
        <f t="shared" si="83"/>
        <v>0</v>
      </c>
      <c r="AL771" s="2">
        <f t="shared" si="84"/>
        <v>0</v>
      </c>
      <c r="AM771" s="2">
        <f t="shared" si="85"/>
        <v>0</v>
      </c>
      <c r="AN771" s="2">
        <f t="shared" si="86"/>
        <v>0</v>
      </c>
    </row>
    <row r="772" spans="1:40" x14ac:dyDescent="0.25">
      <c r="A772" s="16"/>
      <c r="B772" s="27"/>
      <c r="C772" s="9"/>
      <c r="D772" s="6"/>
      <c r="E772" s="1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2">
        <f t="shared" si="81"/>
        <v>0</v>
      </c>
      <c r="AJ772" s="2">
        <f t="shared" si="82"/>
        <v>0</v>
      </c>
      <c r="AK772" s="2">
        <f t="shared" si="83"/>
        <v>0</v>
      </c>
      <c r="AL772" s="2">
        <f t="shared" si="84"/>
        <v>0</v>
      </c>
      <c r="AM772" s="2">
        <f t="shared" si="85"/>
        <v>0</v>
      </c>
      <c r="AN772" s="2">
        <f t="shared" si="86"/>
        <v>0</v>
      </c>
    </row>
    <row r="773" spans="1:40" x14ac:dyDescent="0.25">
      <c r="A773" s="16"/>
      <c r="B773" s="27"/>
      <c r="C773" s="9"/>
      <c r="D773" s="6"/>
      <c r="E773" s="1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2">
        <f t="shared" si="81"/>
        <v>0</v>
      </c>
      <c r="AJ773" s="2">
        <f t="shared" si="82"/>
        <v>0</v>
      </c>
      <c r="AK773" s="2">
        <f t="shared" si="83"/>
        <v>0</v>
      </c>
      <c r="AL773" s="2">
        <f t="shared" si="84"/>
        <v>0</v>
      </c>
      <c r="AM773" s="2">
        <f t="shared" si="85"/>
        <v>0</v>
      </c>
      <c r="AN773" s="2">
        <f t="shared" si="86"/>
        <v>0</v>
      </c>
    </row>
    <row r="774" spans="1:40" x14ac:dyDescent="0.25">
      <c r="A774" s="16"/>
      <c r="B774" s="27"/>
      <c r="C774" s="9"/>
      <c r="D774" s="6"/>
      <c r="E774" s="1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2">
        <f t="shared" si="81"/>
        <v>0</v>
      </c>
      <c r="AJ774" s="2">
        <f t="shared" si="82"/>
        <v>0</v>
      </c>
      <c r="AK774" s="2">
        <f t="shared" si="83"/>
        <v>0</v>
      </c>
      <c r="AL774" s="2">
        <f t="shared" si="84"/>
        <v>0</v>
      </c>
      <c r="AM774" s="2">
        <f t="shared" si="85"/>
        <v>0</v>
      </c>
      <c r="AN774" s="2">
        <f t="shared" si="86"/>
        <v>0</v>
      </c>
    </row>
    <row r="775" spans="1:40" x14ac:dyDescent="0.25">
      <c r="A775" s="16"/>
      <c r="B775" s="27"/>
      <c r="C775" s="9"/>
      <c r="D775" s="6"/>
      <c r="E775" s="1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2">
        <f t="shared" si="81"/>
        <v>0</v>
      </c>
      <c r="AJ775" s="2">
        <f t="shared" si="82"/>
        <v>0</v>
      </c>
      <c r="AK775" s="2">
        <f t="shared" si="83"/>
        <v>0</v>
      </c>
      <c r="AL775" s="2">
        <f t="shared" si="84"/>
        <v>0</v>
      </c>
      <c r="AM775" s="2">
        <f t="shared" si="85"/>
        <v>0</v>
      </c>
      <c r="AN775" s="2">
        <f t="shared" si="86"/>
        <v>0</v>
      </c>
    </row>
    <row r="776" spans="1:40" x14ac:dyDescent="0.25">
      <c r="A776" s="16"/>
      <c r="B776" s="27"/>
      <c r="C776" s="9"/>
      <c r="D776" s="6"/>
      <c r="E776" s="1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2">
        <f t="shared" ref="AI776:AI793" si="87">H776-AG776+AH776</f>
        <v>0</v>
      </c>
      <c r="AJ776" s="2">
        <f t="shared" ref="AJ776:AJ793" si="88">SUM(I776:T776)</f>
        <v>0</v>
      </c>
      <c r="AK776" s="2">
        <f t="shared" ref="AK776:AK793" si="89">SUM(U776:AF776)</f>
        <v>0</v>
      </c>
      <c r="AL776" s="2">
        <f t="shared" si="84"/>
        <v>0</v>
      </c>
      <c r="AM776" s="2">
        <f t="shared" si="85"/>
        <v>0</v>
      </c>
      <c r="AN776" s="2">
        <f t="shared" si="86"/>
        <v>0</v>
      </c>
    </row>
    <row r="777" spans="1:40" x14ac:dyDescent="0.25">
      <c r="A777" s="16"/>
      <c r="B777" s="27"/>
      <c r="C777" s="9"/>
      <c r="D777" s="6"/>
      <c r="E777" s="1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2">
        <f t="shared" si="87"/>
        <v>0</v>
      </c>
      <c r="AJ777" s="2">
        <f t="shared" si="88"/>
        <v>0</v>
      </c>
      <c r="AK777" s="2">
        <f t="shared" si="89"/>
        <v>0</v>
      </c>
      <c r="AL777" s="2">
        <f t="shared" si="84"/>
        <v>0</v>
      </c>
      <c r="AM777" s="2">
        <f t="shared" si="85"/>
        <v>0</v>
      </c>
      <c r="AN777" s="2">
        <f t="shared" si="86"/>
        <v>0</v>
      </c>
    </row>
    <row r="778" spans="1:40" x14ac:dyDescent="0.25">
      <c r="A778" s="16"/>
      <c r="B778" s="27"/>
      <c r="C778" s="9"/>
      <c r="D778" s="6"/>
      <c r="E778" s="1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2">
        <f t="shared" si="87"/>
        <v>0</v>
      </c>
      <c r="AJ778" s="2">
        <f t="shared" si="88"/>
        <v>0</v>
      </c>
      <c r="AK778" s="2">
        <f t="shared" si="89"/>
        <v>0</v>
      </c>
      <c r="AL778" s="2">
        <f t="shared" si="84"/>
        <v>0</v>
      </c>
      <c r="AM778" s="2">
        <f t="shared" si="85"/>
        <v>0</v>
      </c>
      <c r="AN778" s="2">
        <f t="shared" si="86"/>
        <v>0</v>
      </c>
    </row>
    <row r="779" spans="1:40" x14ac:dyDescent="0.25">
      <c r="A779" s="16"/>
      <c r="B779" s="27"/>
      <c r="C779" s="9"/>
      <c r="D779" s="6"/>
      <c r="E779" s="1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2">
        <f t="shared" si="87"/>
        <v>0</v>
      </c>
      <c r="AJ779" s="2">
        <f t="shared" si="88"/>
        <v>0</v>
      </c>
      <c r="AK779" s="2">
        <f t="shared" si="89"/>
        <v>0</v>
      </c>
      <c r="AL779" s="2">
        <f t="shared" si="84"/>
        <v>0</v>
      </c>
      <c r="AM779" s="2">
        <f t="shared" si="85"/>
        <v>0</v>
      </c>
      <c r="AN779" s="2">
        <f t="shared" si="86"/>
        <v>0</v>
      </c>
    </row>
    <row r="780" spans="1:40" x14ac:dyDescent="0.25">
      <c r="A780" s="16"/>
      <c r="B780" s="27"/>
      <c r="C780" s="9"/>
      <c r="D780" s="6"/>
      <c r="E780" s="1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2">
        <f t="shared" si="87"/>
        <v>0</v>
      </c>
      <c r="AJ780" s="2">
        <f t="shared" si="88"/>
        <v>0</v>
      </c>
      <c r="AK780" s="2">
        <f t="shared" si="89"/>
        <v>0</v>
      </c>
      <c r="AL780" s="2">
        <f t="shared" si="84"/>
        <v>0</v>
      </c>
      <c r="AM780" s="2">
        <f t="shared" si="85"/>
        <v>0</v>
      </c>
      <c r="AN780" s="2">
        <f t="shared" si="86"/>
        <v>0</v>
      </c>
    </row>
    <row r="781" spans="1:40" x14ac:dyDescent="0.25">
      <c r="A781" s="16"/>
      <c r="B781" s="27"/>
      <c r="C781" s="9"/>
      <c r="D781" s="6"/>
      <c r="E781" s="1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2">
        <f t="shared" si="87"/>
        <v>0</v>
      </c>
      <c r="AJ781" s="2">
        <f t="shared" si="88"/>
        <v>0</v>
      </c>
      <c r="AK781" s="2">
        <f t="shared" si="89"/>
        <v>0</v>
      </c>
      <c r="AL781" s="2">
        <f t="shared" si="84"/>
        <v>0</v>
      </c>
      <c r="AM781" s="2">
        <f t="shared" si="85"/>
        <v>0</v>
      </c>
      <c r="AN781" s="2">
        <f t="shared" si="86"/>
        <v>0</v>
      </c>
    </row>
    <row r="782" spans="1:40" x14ac:dyDescent="0.25">
      <c r="A782" s="16"/>
      <c r="B782" s="27"/>
      <c r="C782" s="9"/>
      <c r="D782" s="6"/>
      <c r="E782" s="1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2">
        <f t="shared" si="87"/>
        <v>0</v>
      </c>
      <c r="AJ782" s="2">
        <f t="shared" si="88"/>
        <v>0</v>
      </c>
      <c r="AK782" s="2">
        <f t="shared" si="89"/>
        <v>0</v>
      </c>
      <c r="AL782" s="2">
        <f t="shared" si="84"/>
        <v>0</v>
      </c>
      <c r="AM782" s="2">
        <f t="shared" si="85"/>
        <v>0</v>
      </c>
      <c r="AN782" s="2">
        <f t="shared" si="86"/>
        <v>0</v>
      </c>
    </row>
    <row r="783" spans="1:40" x14ac:dyDescent="0.25">
      <c r="A783" s="16"/>
      <c r="B783" s="27"/>
      <c r="C783" s="9"/>
      <c r="D783" s="6"/>
      <c r="E783" s="1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2">
        <f t="shared" si="87"/>
        <v>0</v>
      </c>
      <c r="AJ783" s="2">
        <f t="shared" si="88"/>
        <v>0</v>
      </c>
      <c r="AK783" s="2">
        <f t="shared" si="89"/>
        <v>0</v>
      </c>
      <c r="AL783" s="2">
        <f t="shared" si="84"/>
        <v>0</v>
      </c>
      <c r="AM783" s="2">
        <f t="shared" si="85"/>
        <v>0</v>
      </c>
      <c r="AN783" s="2">
        <f t="shared" si="86"/>
        <v>0</v>
      </c>
    </row>
    <row r="784" spans="1:40" x14ac:dyDescent="0.25">
      <c r="A784" s="16"/>
      <c r="B784" s="27"/>
      <c r="C784" s="9"/>
      <c r="D784" s="6"/>
      <c r="E784" s="1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2">
        <f t="shared" si="87"/>
        <v>0</v>
      </c>
      <c r="AJ784" s="2">
        <f t="shared" si="88"/>
        <v>0</v>
      </c>
      <c r="AK784" s="2">
        <f t="shared" si="89"/>
        <v>0</v>
      </c>
      <c r="AL784" s="2">
        <f t="shared" si="84"/>
        <v>0</v>
      </c>
      <c r="AM784" s="2">
        <f t="shared" si="85"/>
        <v>0</v>
      </c>
      <c r="AN784" s="2">
        <f t="shared" si="86"/>
        <v>0</v>
      </c>
    </row>
    <row r="785" spans="1:40" x14ac:dyDescent="0.25">
      <c r="A785" s="16"/>
      <c r="B785" s="27"/>
      <c r="C785" s="9"/>
      <c r="D785" s="6"/>
      <c r="E785" s="1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2">
        <f t="shared" si="87"/>
        <v>0</v>
      </c>
      <c r="AJ785" s="2">
        <f t="shared" si="88"/>
        <v>0</v>
      </c>
      <c r="AK785" s="2">
        <f t="shared" si="89"/>
        <v>0</v>
      </c>
      <c r="AL785" s="2">
        <f t="shared" si="84"/>
        <v>0</v>
      </c>
      <c r="AM785" s="2">
        <f t="shared" si="85"/>
        <v>0</v>
      </c>
      <c r="AN785" s="2">
        <f t="shared" si="86"/>
        <v>0</v>
      </c>
    </row>
    <row r="786" spans="1:40" x14ac:dyDescent="0.25">
      <c r="A786" s="16"/>
      <c r="B786" s="27"/>
      <c r="C786" s="9"/>
      <c r="D786" s="6"/>
      <c r="E786" s="1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2">
        <f t="shared" si="87"/>
        <v>0</v>
      </c>
      <c r="AJ786" s="2">
        <f t="shared" si="88"/>
        <v>0</v>
      </c>
      <c r="AK786" s="2">
        <f t="shared" si="89"/>
        <v>0</v>
      </c>
      <c r="AL786" s="2">
        <f t="shared" si="84"/>
        <v>0</v>
      </c>
      <c r="AM786" s="2">
        <f t="shared" si="85"/>
        <v>0</v>
      </c>
      <c r="AN786" s="2">
        <f t="shared" si="86"/>
        <v>0</v>
      </c>
    </row>
    <row r="787" spans="1:40" x14ac:dyDescent="0.25">
      <c r="A787" s="16"/>
      <c r="B787" s="27"/>
      <c r="C787" s="9"/>
      <c r="D787" s="6"/>
      <c r="E787" s="1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2">
        <f t="shared" si="87"/>
        <v>0</v>
      </c>
      <c r="AJ787" s="2">
        <f t="shared" si="88"/>
        <v>0</v>
      </c>
      <c r="AK787" s="2">
        <f t="shared" si="89"/>
        <v>0</v>
      </c>
      <c r="AL787" s="2">
        <f t="shared" si="84"/>
        <v>0</v>
      </c>
      <c r="AM787" s="2">
        <f t="shared" si="85"/>
        <v>0</v>
      </c>
      <c r="AN787" s="2">
        <f t="shared" si="86"/>
        <v>0</v>
      </c>
    </row>
    <row r="788" spans="1:40" x14ac:dyDescent="0.25">
      <c r="A788" s="16"/>
      <c r="B788" s="27"/>
      <c r="C788" s="9"/>
      <c r="D788" s="6"/>
      <c r="E788" s="1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2">
        <f t="shared" si="87"/>
        <v>0</v>
      </c>
      <c r="AJ788" s="2">
        <f t="shared" si="88"/>
        <v>0</v>
      </c>
      <c r="AK788" s="2">
        <f t="shared" si="89"/>
        <v>0</v>
      </c>
      <c r="AL788" s="2">
        <f t="shared" si="84"/>
        <v>0</v>
      </c>
      <c r="AM788" s="2">
        <f t="shared" si="85"/>
        <v>0</v>
      </c>
      <c r="AN788" s="2">
        <f t="shared" si="86"/>
        <v>0</v>
      </c>
    </row>
    <row r="789" spans="1:40" x14ac:dyDescent="0.25">
      <c r="A789" s="16"/>
      <c r="B789" s="27"/>
      <c r="C789" s="9"/>
      <c r="D789" s="6"/>
      <c r="E789" s="1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2">
        <f t="shared" si="87"/>
        <v>0</v>
      </c>
      <c r="AJ789" s="2">
        <f t="shared" si="88"/>
        <v>0</v>
      </c>
      <c r="AK789" s="2">
        <f t="shared" si="89"/>
        <v>0</v>
      </c>
      <c r="AL789" s="2">
        <f t="shared" si="84"/>
        <v>0</v>
      </c>
      <c r="AM789" s="2">
        <f t="shared" si="85"/>
        <v>0</v>
      </c>
      <c r="AN789" s="2">
        <f t="shared" si="86"/>
        <v>0</v>
      </c>
    </row>
    <row r="790" spans="1:40" x14ac:dyDescent="0.25">
      <c r="A790" s="16"/>
      <c r="B790" s="27"/>
      <c r="C790" s="9"/>
      <c r="D790" s="6"/>
      <c r="E790" s="1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2">
        <f t="shared" si="87"/>
        <v>0</v>
      </c>
      <c r="AJ790" s="2">
        <f t="shared" si="88"/>
        <v>0</v>
      </c>
      <c r="AK790" s="2">
        <f t="shared" si="89"/>
        <v>0</v>
      </c>
      <c r="AL790" s="2">
        <f t="shared" si="84"/>
        <v>0</v>
      </c>
      <c r="AM790" s="2">
        <f t="shared" si="85"/>
        <v>0</v>
      </c>
      <c r="AN790" s="2">
        <f t="shared" si="86"/>
        <v>0</v>
      </c>
    </row>
    <row r="791" spans="1:40" x14ac:dyDescent="0.25">
      <c r="A791" s="16"/>
      <c r="B791" s="27"/>
      <c r="C791" s="9"/>
      <c r="D791" s="6"/>
      <c r="E791" s="1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2">
        <f t="shared" si="87"/>
        <v>0</v>
      </c>
      <c r="AJ791" s="2">
        <f t="shared" si="88"/>
        <v>0</v>
      </c>
      <c r="AK791" s="2">
        <f t="shared" si="89"/>
        <v>0</v>
      </c>
      <c r="AL791" s="2">
        <f t="shared" si="84"/>
        <v>0</v>
      </c>
      <c r="AM791" s="2">
        <f t="shared" si="85"/>
        <v>0</v>
      </c>
      <c r="AN791" s="2">
        <f t="shared" si="86"/>
        <v>0</v>
      </c>
    </row>
    <row r="792" spans="1:40" x14ac:dyDescent="0.25">
      <c r="A792" s="16"/>
      <c r="B792" s="27"/>
      <c r="C792" s="9"/>
      <c r="D792" s="6"/>
      <c r="E792" s="1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2">
        <f t="shared" si="87"/>
        <v>0</v>
      </c>
      <c r="AJ792" s="2">
        <f t="shared" si="88"/>
        <v>0</v>
      </c>
      <c r="AK792" s="2">
        <f t="shared" si="89"/>
        <v>0</v>
      </c>
      <c r="AL792" s="2">
        <f t="shared" si="84"/>
        <v>0</v>
      </c>
      <c r="AM792" s="2">
        <f t="shared" si="85"/>
        <v>0</v>
      </c>
      <c r="AN792" s="2">
        <f t="shared" si="86"/>
        <v>0</v>
      </c>
    </row>
    <row r="793" spans="1:40" x14ac:dyDescent="0.25">
      <c r="A793" s="16"/>
      <c r="B793" s="27"/>
      <c r="C793" s="9"/>
      <c r="D793" s="6"/>
      <c r="E793" s="1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2">
        <f t="shared" si="87"/>
        <v>0</v>
      </c>
      <c r="AJ793" s="2">
        <f t="shared" si="88"/>
        <v>0</v>
      </c>
      <c r="AK793" s="2">
        <f t="shared" si="89"/>
        <v>0</v>
      </c>
      <c r="AL793" s="2">
        <f t="shared" si="84"/>
        <v>0</v>
      </c>
      <c r="AM793" s="2">
        <f t="shared" si="85"/>
        <v>0</v>
      </c>
      <c r="AN793" s="2">
        <f t="shared" si="86"/>
        <v>0</v>
      </c>
    </row>
    <row r="794" spans="1:40" x14ac:dyDescent="0.25">
      <c r="A794" s="16"/>
      <c r="B794" s="27"/>
      <c r="C794" s="9"/>
      <c r="D794" s="6"/>
      <c r="E794" s="1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2"/>
      <c r="AJ794" s="2"/>
      <c r="AK794" s="2"/>
      <c r="AL794" s="2"/>
      <c r="AM794" s="2"/>
      <c r="AN794" s="2"/>
    </row>
    <row r="795" spans="1:40" x14ac:dyDescent="0.25">
      <c r="A795" s="16"/>
      <c r="B795" s="27"/>
      <c r="C795" s="9"/>
      <c r="D795" s="6"/>
      <c r="E795" s="1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2"/>
      <c r="AJ795" s="2"/>
      <c r="AK795" s="2"/>
      <c r="AL795" s="2"/>
      <c r="AM795" s="2"/>
      <c r="AN795" s="2"/>
    </row>
    <row r="796" spans="1:40" x14ac:dyDescent="0.25">
      <c r="A796" s="16"/>
      <c r="B796" s="27"/>
      <c r="C796" s="9"/>
      <c r="D796" s="6"/>
      <c r="E796" s="1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2"/>
      <c r="AJ796" s="2"/>
      <c r="AK796" s="2"/>
      <c r="AL796" s="2"/>
      <c r="AM796" s="2"/>
      <c r="AN796" s="2"/>
    </row>
    <row r="797" spans="1:40" x14ac:dyDescent="0.25">
      <c r="A797" s="16"/>
      <c r="B797" s="27"/>
      <c r="C797" s="9"/>
      <c r="D797" s="6"/>
      <c r="E797" s="1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2"/>
      <c r="AJ797" s="2"/>
      <c r="AK797" s="2"/>
      <c r="AL797" s="2"/>
      <c r="AM797" s="2"/>
      <c r="AN797" s="2"/>
    </row>
    <row r="798" spans="1:40" x14ac:dyDescent="0.25">
      <c r="A798" s="16"/>
      <c r="B798" s="27"/>
      <c r="C798" s="9"/>
      <c r="D798" s="6"/>
      <c r="E798" s="1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2"/>
      <c r="AJ798" s="2"/>
      <c r="AK798" s="2"/>
      <c r="AL798" s="2"/>
      <c r="AM798" s="2"/>
      <c r="AN798" s="2"/>
    </row>
    <row r="799" spans="1:40" x14ac:dyDescent="0.25">
      <c r="A799" s="16"/>
      <c r="B799" s="27"/>
      <c r="C799" s="9"/>
      <c r="D799" s="6"/>
      <c r="E799" s="1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2"/>
      <c r="AJ799" s="2"/>
      <c r="AK799" s="2"/>
      <c r="AL799" s="2"/>
      <c r="AM799" s="2"/>
      <c r="AN799" s="2"/>
    </row>
    <row r="800" spans="1:40" x14ac:dyDescent="0.25">
      <c r="A800" s="16"/>
      <c r="B800" s="27"/>
      <c r="C800" s="9"/>
      <c r="D800" s="6"/>
      <c r="E800" s="1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2"/>
      <c r="AJ800" s="2"/>
      <c r="AK800" s="2"/>
      <c r="AL800" s="2"/>
      <c r="AM800" s="2"/>
      <c r="AN800" s="2"/>
    </row>
    <row r="801" spans="1:40" x14ac:dyDescent="0.25">
      <c r="A801" s="16"/>
      <c r="B801" s="27"/>
      <c r="C801" s="9"/>
      <c r="D801" s="6"/>
      <c r="E801" s="1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2"/>
      <c r="AJ801" s="2"/>
      <c r="AK801" s="2"/>
      <c r="AL801" s="2"/>
      <c r="AM801" s="2"/>
      <c r="AN801" s="2"/>
    </row>
    <row r="802" spans="1:40" x14ac:dyDescent="0.25">
      <c r="A802" s="16"/>
      <c r="B802" s="27"/>
      <c r="C802" s="9"/>
      <c r="D802" s="6"/>
      <c r="E802" s="1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2"/>
      <c r="AJ802" s="2"/>
      <c r="AK802" s="2"/>
      <c r="AL802" s="2"/>
      <c r="AM802" s="2"/>
      <c r="AN802" s="2"/>
    </row>
    <row r="803" spans="1:40" x14ac:dyDescent="0.25">
      <c r="A803" s="16"/>
      <c r="B803" s="27"/>
      <c r="C803" s="9"/>
      <c r="D803" s="6"/>
      <c r="E803" s="1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2"/>
      <c r="AJ803" s="2"/>
      <c r="AK803" s="2"/>
      <c r="AL803" s="2"/>
      <c r="AM803" s="2"/>
      <c r="AN803" s="2"/>
    </row>
    <row r="804" spans="1:40" x14ac:dyDescent="0.25">
      <c r="A804" s="16"/>
      <c r="B804" s="27"/>
      <c r="C804" s="9"/>
      <c r="D804" s="6"/>
      <c r="E804" s="1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2"/>
      <c r="AJ804" s="2"/>
      <c r="AK804" s="2"/>
      <c r="AL804" s="2"/>
      <c r="AM804" s="2"/>
      <c r="AN804" s="2"/>
    </row>
    <row r="805" spans="1:40" x14ac:dyDescent="0.25">
      <c r="A805" s="16"/>
      <c r="B805" s="27"/>
      <c r="C805" s="9"/>
      <c r="D805" s="6"/>
      <c r="E805" s="1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2"/>
      <c r="AJ805" s="2"/>
      <c r="AK805" s="2"/>
      <c r="AL805" s="2"/>
      <c r="AM805" s="2"/>
      <c r="AN805" s="2"/>
    </row>
    <row r="806" spans="1:40" x14ac:dyDescent="0.25">
      <c r="A806" s="16"/>
      <c r="B806" s="27"/>
      <c r="C806" s="9"/>
      <c r="D806" s="6"/>
      <c r="E806" s="1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2"/>
      <c r="AJ806" s="2"/>
      <c r="AK806" s="2"/>
      <c r="AL806" s="2"/>
      <c r="AM806" s="2"/>
      <c r="AN806" s="2"/>
    </row>
    <row r="807" spans="1:40" x14ac:dyDescent="0.25">
      <c r="A807" s="16"/>
      <c r="B807" s="27"/>
      <c r="C807" s="9"/>
      <c r="D807" s="6"/>
      <c r="E807" s="1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2"/>
      <c r="AJ807" s="2"/>
      <c r="AK807" s="2"/>
      <c r="AL807" s="2"/>
      <c r="AM807" s="2"/>
      <c r="AN807" s="2"/>
    </row>
    <row r="808" spans="1:40" x14ac:dyDescent="0.25">
      <c r="A808" s="16"/>
      <c r="B808" s="27"/>
      <c r="C808" s="9"/>
      <c r="D808" s="6"/>
      <c r="E808" s="1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2"/>
      <c r="AJ808" s="2"/>
      <c r="AK808" s="2"/>
      <c r="AL808" s="2"/>
      <c r="AM808" s="2"/>
      <c r="AN808" s="2"/>
    </row>
    <row r="809" spans="1:40" x14ac:dyDescent="0.25">
      <c r="A809" s="16"/>
      <c r="B809" s="27"/>
      <c r="C809" s="9"/>
      <c r="D809" s="6"/>
      <c r="E809" s="1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2"/>
      <c r="AJ809" s="2"/>
      <c r="AK809" s="2"/>
      <c r="AL809" s="2"/>
      <c r="AM809" s="2"/>
      <c r="AN809" s="2"/>
    </row>
    <row r="810" spans="1:40" x14ac:dyDescent="0.25">
      <c r="A810" s="16"/>
      <c r="B810" s="27"/>
      <c r="C810" s="9"/>
      <c r="D810" s="6"/>
      <c r="E810" s="1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2"/>
      <c r="AJ810" s="2"/>
      <c r="AK810" s="2"/>
      <c r="AL810" s="2"/>
      <c r="AM810" s="2"/>
      <c r="AN810" s="2"/>
    </row>
    <row r="811" spans="1:40" x14ac:dyDescent="0.25">
      <c r="A811" s="16"/>
      <c r="B811" s="27"/>
      <c r="C811" s="9"/>
      <c r="D811" s="6"/>
      <c r="E811" s="1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2"/>
      <c r="AJ811" s="2"/>
      <c r="AK811" s="2"/>
      <c r="AL811" s="2"/>
      <c r="AM811" s="2"/>
      <c r="AN811" s="2"/>
    </row>
    <row r="812" spans="1:40" x14ac:dyDescent="0.25">
      <c r="A812" s="16"/>
      <c r="B812" s="27"/>
      <c r="C812" s="9"/>
      <c r="D812" s="6"/>
      <c r="E812" s="1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2"/>
      <c r="AJ812" s="2"/>
      <c r="AK812" s="2"/>
      <c r="AL812" s="2"/>
      <c r="AM812" s="2"/>
      <c r="AN812" s="2"/>
    </row>
    <row r="813" spans="1:40" x14ac:dyDescent="0.25">
      <c r="A813" s="16"/>
      <c r="B813" s="27"/>
      <c r="C813" s="9"/>
      <c r="D813" s="6"/>
      <c r="E813" s="1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2"/>
      <c r="AJ813" s="2"/>
      <c r="AK813" s="2"/>
      <c r="AL813" s="2"/>
      <c r="AM813" s="2"/>
      <c r="AN813" s="2"/>
    </row>
    <row r="814" spans="1:40" x14ac:dyDescent="0.25">
      <c r="A814" s="16"/>
      <c r="B814" s="27"/>
      <c r="C814" s="9"/>
      <c r="D814" s="6"/>
      <c r="E814" s="1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2"/>
      <c r="AJ814" s="2"/>
      <c r="AK814" s="2"/>
      <c r="AL814" s="2"/>
      <c r="AM814" s="2"/>
      <c r="AN814" s="2"/>
    </row>
    <row r="815" spans="1:40" x14ac:dyDescent="0.25">
      <c r="A815" s="16"/>
      <c r="B815" s="27"/>
      <c r="C815" s="9"/>
      <c r="D815" s="6"/>
      <c r="E815" s="1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2"/>
      <c r="AJ815" s="2"/>
      <c r="AK815" s="2"/>
      <c r="AL815" s="2"/>
      <c r="AM815" s="2"/>
      <c r="AN815" s="2"/>
    </row>
    <row r="816" spans="1:40" x14ac:dyDescent="0.25">
      <c r="A816" s="16"/>
      <c r="B816" s="27"/>
      <c r="C816" s="9"/>
      <c r="D816" s="6"/>
      <c r="E816" s="1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2"/>
      <c r="AJ816" s="2"/>
      <c r="AK816" s="2"/>
      <c r="AL816" s="2"/>
      <c r="AM816" s="2"/>
      <c r="AN816" s="2"/>
    </row>
    <row r="817" spans="1:40" x14ac:dyDescent="0.25">
      <c r="A817" s="16"/>
      <c r="B817" s="27"/>
      <c r="C817" s="9"/>
      <c r="D817" s="6"/>
      <c r="E817" s="1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2"/>
      <c r="AJ817" s="2"/>
      <c r="AK817" s="2"/>
      <c r="AL817" s="2"/>
      <c r="AM817" s="2"/>
      <c r="AN817" s="2"/>
    </row>
    <row r="818" spans="1:40" x14ac:dyDescent="0.25">
      <c r="A818" s="16"/>
      <c r="B818" s="27"/>
      <c r="C818" s="9"/>
      <c r="D818" s="6"/>
      <c r="E818" s="1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2"/>
      <c r="AJ818" s="2"/>
      <c r="AK818" s="2"/>
      <c r="AL818" s="2"/>
      <c r="AM818" s="2"/>
      <c r="AN818" s="2"/>
    </row>
    <row r="819" spans="1:40" x14ac:dyDescent="0.25">
      <c r="A819" s="16"/>
      <c r="B819" s="27"/>
      <c r="C819" s="9"/>
      <c r="D819" s="6"/>
      <c r="E819" s="1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2"/>
      <c r="AJ819" s="2"/>
      <c r="AK819" s="2"/>
      <c r="AL819" s="2"/>
      <c r="AM819" s="2"/>
      <c r="AN819" s="2"/>
    </row>
    <row r="820" spans="1:40" x14ac:dyDescent="0.25">
      <c r="A820" s="16"/>
      <c r="B820" s="27"/>
      <c r="C820" s="9"/>
      <c r="D820" s="6"/>
      <c r="E820" s="1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2"/>
      <c r="AJ820" s="2"/>
      <c r="AK820" s="2"/>
      <c r="AL820" s="2"/>
      <c r="AM820" s="2"/>
      <c r="AN820" s="2"/>
    </row>
    <row r="821" spans="1:40" x14ac:dyDescent="0.25">
      <c r="A821" s="16"/>
      <c r="B821" s="27"/>
      <c r="C821" s="9"/>
      <c r="D821" s="6"/>
      <c r="E821" s="1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2"/>
      <c r="AJ821" s="2"/>
      <c r="AK821" s="2"/>
      <c r="AL821" s="2"/>
      <c r="AM821" s="2"/>
      <c r="AN821" s="2"/>
    </row>
    <row r="822" spans="1:40" x14ac:dyDescent="0.25">
      <c r="A822" s="16"/>
      <c r="B822" s="27"/>
      <c r="C822" s="9"/>
      <c r="D822" s="6"/>
      <c r="E822" s="1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2"/>
      <c r="AJ822" s="2"/>
      <c r="AK822" s="2"/>
      <c r="AL822" s="2"/>
      <c r="AM822" s="2"/>
      <c r="AN822" s="2"/>
    </row>
    <row r="823" spans="1:40" x14ac:dyDescent="0.25">
      <c r="A823" s="16"/>
      <c r="B823" s="27"/>
      <c r="C823" s="9"/>
      <c r="D823" s="6"/>
      <c r="E823" s="1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2"/>
      <c r="AJ823" s="2"/>
      <c r="AK823" s="2"/>
      <c r="AL823" s="2"/>
      <c r="AM823" s="2"/>
      <c r="AN823" s="2"/>
    </row>
    <row r="824" spans="1:40" x14ac:dyDescent="0.25">
      <c r="A824" s="16"/>
      <c r="B824" s="27"/>
      <c r="C824" s="9"/>
      <c r="D824" s="6"/>
      <c r="E824" s="1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2"/>
      <c r="AJ824" s="2"/>
      <c r="AK824" s="2"/>
      <c r="AL824" s="2"/>
      <c r="AM824" s="2"/>
      <c r="AN824" s="2"/>
    </row>
    <row r="825" spans="1:40" x14ac:dyDescent="0.25">
      <c r="A825" s="16"/>
      <c r="B825" s="27"/>
      <c r="C825" s="9"/>
      <c r="D825" s="6"/>
      <c r="E825" s="1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2"/>
      <c r="AJ825" s="2"/>
      <c r="AK825" s="2"/>
      <c r="AL825" s="2"/>
      <c r="AM825" s="2"/>
      <c r="AN825" s="2"/>
    </row>
    <row r="826" spans="1:40" x14ac:dyDescent="0.25">
      <c r="A826" s="16"/>
      <c r="B826" s="27"/>
      <c r="C826" s="9"/>
      <c r="D826" s="6"/>
      <c r="E826" s="1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2"/>
      <c r="AJ826" s="2"/>
      <c r="AK826" s="2"/>
      <c r="AL826" s="2"/>
      <c r="AM826" s="2"/>
      <c r="AN826" s="2"/>
    </row>
    <row r="827" spans="1:40" x14ac:dyDescent="0.25">
      <c r="A827" s="16"/>
      <c r="B827" s="27"/>
      <c r="C827" s="9"/>
      <c r="D827" s="6"/>
      <c r="E827" s="1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2"/>
      <c r="AJ827" s="2"/>
      <c r="AK827" s="2"/>
      <c r="AL827" s="2"/>
      <c r="AM827" s="2"/>
      <c r="AN827" s="2"/>
    </row>
    <row r="828" spans="1:40" x14ac:dyDescent="0.25">
      <c r="A828" s="16"/>
      <c r="B828" s="27"/>
      <c r="C828" s="9"/>
      <c r="D828" s="6"/>
      <c r="E828" s="1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2"/>
      <c r="AJ828" s="2"/>
      <c r="AK828" s="2"/>
      <c r="AL828" s="2"/>
      <c r="AM828" s="2"/>
      <c r="AN828" s="2"/>
    </row>
    <row r="829" spans="1:40" x14ac:dyDescent="0.25">
      <c r="A829" s="16"/>
      <c r="B829" s="27"/>
      <c r="C829" s="9"/>
      <c r="D829" s="6"/>
      <c r="E829" s="1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2"/>
      <c r="AJ829" s="2"/>
      <c r="AK829" s="2"/>
      <c r="AL829" s="2"/>
      <c r="AM829" s="2"/>
      <c r="AN829" s="2"/>
    </row>
    <row r="830" spans="1:40" x14ac:dyDescent="0.25">
      <c r="A830" s="16"/>
      <c r="B830" s="27"/>
      <c r="C830" s="9"/>
      <c r="D830" s="6"/>
      <c r="E830" s="1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2"/>
      <c r="AJ830" s="2"/>
      <c r="AK830" s="2"/>
      <c r="AL830" s="2"/>
      <c r="AM830" s="2"/>
      <c r="AN830" s="2"/>
    </row>
    <row r="831" spans="1:40" x14ac:dyDescent="0.25">
      <c r="A831" s="16"/>
      <c r="B831" s="27"/>
      <c r="C831" s="9"/>
      <c r="D831" s="6"/>
      <c r="E831" s="1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2"/>
      <c r="AJ831" s="2"/>
      <c r="AK831" s="2"/>
      <c r="AL831" s="2"/>
      <c r="AM831" s="2"/>
      <c r="AN831" s="2"/>
    </row>
    <row r="832" spans="1:40" x14ac:dyDescent="0.25">
      <c r="A832" s="16"/>
      <c r="B832" s="27"/>
      <c r="C832" s="9"/>
      <c r="D832" s="6"/>
      <c r="E832" s="1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2"/>
      <c r="AJ832" s="2"/>
      <c r="AK832" s="2"/>
      <c r="AL832" s="2"/>
      <c r="AM832" s="2"/>
      <c r="AN832" s="2"/>
    </row>
    <row r="833" spans="1:40" x14ac:dyDescent="0.25">
      <c r="A833" s="16"/>
      <c r="B833" s="27"/>
      <c r="C833" s="9"/>
      <c r="D833" s="6"/>
      <c r="E833" s="1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2"/>
      <c r="AJ833" s="2"/>
      <c r="AK833" s="2"/>
      <c r="AL833" s="2"/>
      <c r="AM833" s="2"/>
      <c r="AN833" s="2"/>
    </row>
    <row r="834" spans="1:40" x14ac:dyDescent="0.25">
      <c r="A834" s="16"/>
      <c r="B834" s="27"/>
      <c r="C834" s="9"/>
      <c r="D834" s="6"/>
      <c r="E834" s="1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2"/>
      <c r="AJ834" s="2"/>
      <c r="AK834" s="2"/>
      <c r="AL834" s="2"/>
      <c r="AM834" s="2"/>
      <c r="AN834" s="2"/>
    </row>
    <row r="835" spans="1:40" x14ac:dyDescent="0.25">
      <c r="A835" s="16"/>
      <c r="B835" s="27"/>
      <c r="C835" s="9"/>
      <c r="D835" s="6"/>
      <c r="E835" s="1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2"/>
      <c r="AJ835" s="2"/>
      <c r="AK835" s="2"/>
      <c r="AL835" s="2"/>
      <c r="AM835" s="2"/>
      <c r="AN835" s="2"/>
    </row>
    <row r="836" spans="1:40" x14ac:dyDescent="0.25">
      <c r="A836" s="16"/>
      <c r="B836" s="27"/>
      <c r="C836" s="9"/>
      <c r="D836" s="6"/>
      <c r="E836" s="1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2"/>
      <c r="AJ836" s="2"/>
      <c r="AK836" s="2"/>
      <c r="AL836" s="2"/>
      <c r="AM836" s="2"/>
      <c r="AN836" s="2"/>
    </row>
    <row r="837" spans="1:40" x14ac:dyDescent="0.25">
      <c r="A837" s="16"/>
      <c r="B837" s="27"/>
      <c r="C837" s="9"/>
      <c r="D837" s="6"/>
      <c r="E837" s="1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2"/>
      <c r="AJ837" s="2"/>
      <c r="AK837" s="2"/>
      <c r="AL837" s="2"/>
      <c r="AM837" s="2"/>
      <c r="AN837" s="2"/>
    </row>
    <row r="838" spans="1:40" x14ac:dyDescent="0.25">
      <c r="A838" s="16"/>
      <c r="B838" s="27"/>
      <c r="C838" s="9"/>
      <c r="D838" s="6"/>
      <c r="E838" s="1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2"/>
      <c r="AJ838" s="2"/>
      <c r="AK838" s="2"/>
      <c r="AL838" s="2"/>
      <c r="AM838" s="2"/>
      <c r="AN838" s="2"/>
    </row>
    <row r="839" spans="1:40" x14ac:dyDescent="0.25">
      <c r="A839" s="16"/>
      <c r="B839" s="27"/>
      <c r="C839" s="9"/>
      <c r="D839" s="6"/>
      <c r="E839" s="1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2"/>
      <c r="AJ839" s="2"/>
      <c r="AK839" s="2"/>
      <c r="AL839" s="2"/>
      <c r="AM839" s="2"/>
      <c r="AN839" s="2"/>
    </row>
    <row r="840" spans="1:40" x14ac:dyDescent="0.25">
      <c r="A840" s="16"/>
      <c r="B840" s="27"/>
      <c r="C840" s="9"/>
      <c r="D840" s="6"/>
      <c r="E840" s="1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2"/>
      <c r="AJ840" s="2"/>
      <c r="AK840" s="2"/>
      <c r="AL840" s="2"/>
      <c r="AM840" s="2"/>
      <c r="AN840" s="2"/>
    </row>
    <row r="841" spans="1:40" x14ac:dyDescent="0.25">
      <c r="A841" s="16"/>
      <c r="B841" s="27"/>
      <c r="C841" s="9"/>
      <c r="D841" s="6"/>
      <c r="E841" s="1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2"/>
      <c r="AJ841" s="2"/>
      <c r="AK841" s="2"/>
      <c r="AL841" s="2"/>
      <c r="AM841" s="2"/>
      <c r="AN841" s="2"/>
    </row>
    <row r="842" spans="1:40" x14ac:dyDescent="0.25">
      <c r="A842" s="16"/>
      <c r="B842" s="27"/>
      <c r="C842" s="9"/>
      <c r="D842" s="6"/>
      <c r="E842" s="1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2"/>
      <c r="AJ842" s="2"/>
      <c r="AK842" s="2"/>
      <c r="AL842" s="2"/>
      <c r="AM842" s="2"/>
      <c r="AN842" s="2"/>
    </row>
    <row r="843" spans="1:40" x14ac:dyDescent="0.25">
      <c r="A843" s="16"/>
      <c r="B843" s="27"/>
      <c r="C843" s="9"/>
      <c r="D843" s="6"/>
      <c r="E843" s="1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2"/>
      <c r="AJ843" s="2"/>
      <c r="AK843" s="2"/>
      <c r="AL843" s="2"/>
      <c r="AM843" s="2"/>
      <c r="AN843" s="2"/>
    </row>
    <row r="844" spans="1:40" x14ac:dyDescent="0.25">
      <c r="A844" s="16"/>
      <c r="B844" s="27"/>
      <c r="C844" s="9"/>
      <c r="D844" s="6"/>
      <c r="E844" s="1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2"/>
      <c r="AJ844" s="2"/>
      <c r="AK844" s="2"/>
      <c r="AL844" s="2"/>
      <c r="AM844" s="2"/>
      <c r="AN844" s="2"/>
    </row>
    <row r="845" spans="1:40" x14ac:dyDescent="0.25">
      <c r="A845" s="16"/>
      <c r="B845" s="27"/>
      <c r="C845" s="9"/>
      <c r="D845" s="6"/>
      <c r="E845" s="1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2"/>
      <c r="AJ845" s="2"/>
      <c r="AK845" s="2"/>
      <c r="AL845" s="2"/>
      <c r="AM845" s="2"/>
      <c r="AN845" s="2"/>
    </row>
    <row r="846" spans="1:40" x14ac:dyDescent="0.25">
      <c r="A846" s="16"/>
      <c r="B846" s="27"/>
      <c r="C846" s="9"/>
      <c r="D846" s="6"/>
      <c r="E846" s="1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2"/>
      <c r="AJ846" s="2"/>
      <c r="AK846" s="2"/>
      <c r="AL846" s="2"/>
      <c r="AM846" s="2"/>
      <c r="AN846" s="2"/>
    </row>
    <row r="847" spans="1:40" x14ac:dyDescent="0.25">
      <c r="A847" s="16"/>
      <c r="B847" s="27"/>
      <c r="C847" s="9"/>
      <c r="D847" s="6"/>
      <c r="E847" s="1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2"/>
      <c r="AJ847" s="2"/>
      <c r="AK847" s="2"/>
      <c r="AL847" s="2"/>
      <c r="AM847" s="2"/>
      <c r="AN847" s="2"/>
    </row>
    <row r="848" spans="1:40" x14ac:dyDescent="0.25">
      <c r="A848" s="16"/>
      <c r="B848" s="27"/>
      <c r="C848" s="9"/>
      <c r="D848" s="6"/>
      <c r="E848" s="1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2"/>
      <c r="AJ848" s="2"/>
      <c r="AK848" s="2"/>
      <c r="AL848" s="2"/>
      <c r="AM848" s="2"/>
      <c r="AN848" s="2"/>
    </row>
    <row r="849" spans="1:40" x14ac:dyDescent="0.25">
      <c r="A849" s="16"/>
      <c r="B849" s="27"/>
      <c r="C849" s="9"/>
      <c r="D849" s="6"/>
      <c r="E849" s="1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2"/>
      <c r="AJ849" s="2"/>
      <c r="AK849" s="2"/>
      <c r="AL849" s="2"/>
      <c r="AM849" s="2"/>
      <c r="AN849" s="2"/>
    </row>
    <row r="850" spans="1:40" x14ac:dyDescent="0.25">
      <c r="A850" s="16"/>
      <c r="B850" s="27"/>
      <c r="C850" s="9"/>
      <c r="D850" s="6"/>
      <c r="E850" s="1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2"/>
      <c r="AJ850" s="2"/>
      <c r="AK850" s="2"/>
      <c r="AL850" s="2"/>
      <c r="AM850" s="2"/>
      <c r="AN850" s="2"/>
    </row>
    <row r="851" spans="1:40" x14ac:dyDescent="0.25">
      <c r="A851" s="16"/>
      <c r="B851" s="27"/>
      <c r="C851" s="9"/>
      <c r="D851" s="6"/>
      <c r="E851" s="1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2"/>
      <c r="AJ851" s="2"/>
      <c r="AK851" s="2"/>
      <c r="AL851" s="2"/>
      <c r="AM851" s="2"/>
      <c r="AN851" s="2"/>
    </row>
    <row r="852" spans="1:40" x14ac:dyDescent="0.25">
      <c r="A852" s="16"/>
      <c r="B852" s="27"/>
      <c r="C852" s="9"/>
      <c r="D852" s="6"/>
      <c r="E852" s="1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2"/>
      <c r="AJ852" s="2"/>
      <c r="AK852" s="2"/>
      <c r="AL852" s="2"/>
      <c r="AM852" s="2"/>
      <c r="AN852" s="2"/>
    </row>
    <row r="853" spans="1:40" x14ac:dyDescent="0.25">
      <c r="A853" s="16"/>
      <c r="B853" s="27"/>
      <c r="C853" s="9"/>
      <c r="D853" s="6"/>
      <c r="E853" s="1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2"/>
      <c r="AJ853" s="2"/>
      <c r="AK853" s="2"/>
      <c r="AL853" s="2"/>
      <c r="AM853" s="2"/>
      <c r="AN853" s="2"/>
    </row>
    <row r="854" spans="1:40" x14ac:dyDescent="0.25">
      <c r="A854" s="16"/>
      <c r="B854" s="27"/>
      <c r="C854" s="9"/>
      <c r="D854" s="6"/>
      <c r="E854" s="1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2"/>
      <c r="AJ854" s="2"/>
      <c r="AK854" s="2"/>
      <c r="AL854" s="2"/>
      <c r="AM854" s="2"/>
      <c r="AN854" s="2"/>
    </row>
    <row r="855" spans="1:40" x14ac:dyDescent="0.25">
      <c r="A855" s="16"/>
      <c r="B855" s="27"/>
      <c r="C855" s="9"/>
      <c r="D855" s="6"/>
      <c r="E855" s="1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2"/>
      <c r="AJ855" s="2"/>
      <c r="AK855" s="2"/>
      <c r="AL855" s="2"/>
      <c r="AM855" s="2"/>
      <c r="AN855" s="2"/>
    </row>
    <row r="856" spans="1:40" x14ac:dyDescent="0.25">
      <c r="A856" s="16"/>
      <c r="B856" s="27"/>
      <c r="C856" s="9"/>
      <c r="D856" s="6"/>
      <c r="E856" s="1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2"/>
      <c r="AJ856" s="2"/>
      <c r="AK856" s="2"/>
      <c r="AL856" s="2"/>
      <c r="AM856" s="2"/>
      <c r="AN856" s="2"/>
    </row>
    <row r="857" spans="1:40" x14ac:dyDescent="0.25">
      <c r="A857" s="16"/>
      <c r="B857" s="27"/>
      <c r="C857" s="9"/>
      <c r="D857" s="6"/>
      <c r="E857" s="1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2"/>
      <c r="AJ857" s="2"/>
      <c r="AK857" s="2"/>
      <c r="AL857" s="2"/>
      <c r="AM857" s="2"/>
      <c r="AN857" s="2"/>
    </row>
    <row r="858" spans="1:40" x14ac:dyDescent="0.25">
      <c r="A858" s="16"/>
      <c r="B858" s="27"/>
      <c r="C858" s="9"/>
      <c r="D858" s="6"/>
      <c r="E858" s="1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2"/>
      <c r="AJ858" s="2"/>
      <c r="AK858" s="2"/>
      <c r="AL858" s="2"/>
      <c r="AM858" s="2"/>
      <c r="AN858" s="2"/>
    </row>
    <row r="859" spans="1:40" x14ac:dyDescent="0.25">
      <c r="A859" s="16"/>
      <c r="B859" s="27"/>
      <c r="C859" s="9"/>
      <c r="D859" s="6"/>
      <c r="E859" s="1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2"/>
      <c r="AJ859" s="2"/>
      <c r="AK859" s="2"/>
      <c r="AL859" s="2"/>
      <c r="AM859" s="2"/>
      <c r="AN859" s="2"/>
    </row>
    <row r="860" spans="1:40" x14ac:dyDescent="0.25">
      <c r="A860" s="16"/>
      <c r="B860" s="27"/>
      <c r="C860" s="9"/>
      <c r="D860" s="6"/>
      <c r="E860" s="1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2"/>
      <c r="AJ860" s="2"/>
      <c r="AK860" s="2"/>
      <c r="AL860" s="2"/>
      <c r="AM860" s="2"/>
      <c r="AN860" s="2"/>
    </row>
    <row r="861" spans="1:40" x14ac:dyDescent="0.25">
      <c r="A861" s="16"/>
      <c r="B861" s="27"/>
      <c r="C861" s="9"/>
      <c r="D861" s="6"/>
      <c r="E861" s="1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2"/>
      <c r="AJ861" s="2"/>
      <c r="AK861" s="2"/>
      <c r="AL861" s="2"/>
      <c r="AM861" s="2"/>
      <c r="AN861" s="2"/>
    </row>
    <row r="862" spans="1:40" x14ac:dyDescent="0.25">
      <c r="A862" s="16"/>
      <c r="B862" s="27"/>
      <c r="C862" s="9"/>
      <c r="D862" s="6"/>
      <c r="E862" s="1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2"/>
      <c r="AJ862" s="2"/>
      <c r="AK862" s="2"/>
      <c r="AL862" s="2"/>
      <c r="AM862" s="2"/>
      <c r="AN862" s="2"/>
    </row>
    <row r="863" spans="1:40" x14ac:dyDescent="0.25">
      <c r="A863" s="16"/>
      <c r="B863" s="27"/>
      <c r="C863" s="9"/>
      <c r="D863" s="6"/>
      <c r="E863" s="1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2"/>
      <c r="AJ863" s="2"/>
      <c r="AK863" s="2"/>
      <c r="AL863" s="2"/>
      <c r="AM863" s="2"/>
      <c r="AN863" s="2"/>
    </row>
    <row r="864" spans="1:40" x14ac:dyDescent="0.25">
      <c r="A864" s="16"/>
      <c r="B864" s="27"/>
      <c r="C864" s="9"/>
      <c r="D864" s="6"/>
      <c r="E864" s="1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2"/>
      <c r="AJ864" s="2"/>
      <c r="AK864" s="2"/>
      <c r="AL864" s="2"/>
      <c r="AM864" s="2"/>
      <c r="AN864" s="2"/>
    </row>
    <row r="865" spans="1:40" x14ac:dyDescent="0.25">
      <c r="A865" s="16"/>
      <c r="B865" s="27"/>
      <c r="C865" s="9"/>
      <c r="D865" s="6"/>
      <c r="E865" s="1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2"/>
      <c r="AJ865" s="2"/>
      <c r="AK865" s="2"/>
      <c r="AL865" s="2"/>
      <c r="AM865" s="2"/>
      <c r="AN865" s="2"/>
    </row>
    <row r="866" spans="1:40" x14ac:dyDescent="0.25">
      <c r="A866" s="16"/>
      <c r="B866" s="27"/>
      <c r="C866" s="9"/>
      <c r="D866" s="6"/>
      <c r="E866" s="1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2"/>
      <c r="AJ866" s="2"/>
      <c r="AK866" s="2"/>
      <c r="AL866" s="2"/>
      <c r="AM866" s="2"/>
      <c r="AN866" s="2"/>
    </row>
    <row r="867" spans="1:40" x14ac:dyDescent="0.25">
      <c r="A867" s="16"/>
      <c r="B867" s="27"/>
      <c r="C867" s="9"/>
      <c r="D867" s="6"/>
      <c r="E867" s="1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2"/>
      <c r="AJ867" s="2"/>
      <c r="AK867" s="2"/>
      <c r="AL867" s="2"/>
      <c r="AM867" s="2"/>
      <c r="AN867" s="2"/>
    </row>
    <row r="868" spans="1:40" x14ac:dyDescent="0.25">
      <c r="A868" s="16"/>
      <c r="B868" s="27"/>
      <c r="C868" s="9"/>
      <c r="D868" s="6"/>
      <c r="E868" s="1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2"/>
      <c r="AJ868" s="2"/>
      <c r="AK868" s="2"/>
      <c r="AL868" s="2"/>
      <c r="AM868" s="2"/>
      <c r="AN868" s="2"/>
    </row>
    <row r="869" spans="1:40" x14ac:dyDescent="0.25">
      <c r="A869" s="16"/>
      <c r="B869" s="27"/>
      <c r="C869" s="9"/>
      <c r="D869" s="6"/>
      <c r="E869" s="1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2"/>
      <c r="AJ869" s="2"/>
      <c r="AK869" s="2"/>
      <c r="AL869" s="2"/>
      <c r="AM869" s="2"/>
      <c r="AN869" s="2"/>
    </row>
    <row r="870" spans="1:40" x14ac:dyDescent="0.25">
      <c r="A870" s="16"/>
      <c r="B870" s="27"/>
      <c r="C870" s="9"/>
      <c r="D870" s="6"/>
      <c r="E870" s="1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2"/>
      <c r="AJ870" s="2"/>
      <c r="AK870" s="2"/>
      <c r="AL870" s="2"/>
      <c r="AM870" s="2"/>
      <c r="AN870" s="2"/>
    </row>
    <row r="871" spans="1:40" x14ac:dyDescent="0.25">
      <c r="A871" s="16"/>
      <c r="B871" s="27"/>
      <c r="C871" s="9"/>
      <c r="D871" s="6"/>
      <c r="E871" s="1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2"/>
      <c r="AJ871" s="2"/>
      <c r="AK871" s="2"/>
      <c r="AL871" s="2"/>
      <c r="AM871" s="2"/>
      <c r="AN871" s="2"/>
    </row>
    <row r="872" spans="1:40" x14ac:dyDescent="0.25">
      <c r="A872" s="16"/>
      <c r="B872" s="27"/>
      <c r="C872" s="9"/>
      <c r="D872" s="6"/>
      <c r="E872" s="1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2"/>
      <c r="AJ872" s="2"/>
      <c r="AK872" s="2"/>
      <c r="AL872" s="2"/>
      <c r="AM872" s="2"/>
      <c r="AN872" s="2"/>
    </row>
    <row r="873" spans="1:40" x14ac:dyDescent="0.25">
      <c r="A873" s="16"/>
      <c r="B873" s="27"/>
      <c r="C873" s="9"/>
      <c r="D873" s="6"/>
      <c r="E873" s="1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2"/>
      <c r="AJ873" s="2"/>
      <c r="AK873" s="2"/>
      <c r="AL873" s="2"/>
      <c r="AM873" s="2"/>
      <c r="AN873" s="2"/>
    </row>
    <row r="874" spans="1:40" x14ac:dyDescent="0.25">
      <c r="A874" s="16"/>
      <c r="B874" s="27"/>
      <c r="C874" s="9"/>
      <c r="D874" s="6"/>
      <c r="E874" s="1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2"/>
      <c r="AJ874" s="2"/>
      <c r="AK874" s="2"/>
      <c r="AL874" s="2"/>
      <c r="AM874" s="2"/>
      <c r="AN874" s="2"/>
    </row>
    <row r="875" spans="1:40" x14ac:dyDescent="0.25">
      <c r="A875" s="16"/>
      <c r="B875" s="27"/>
      <c r="C875" s="9"/>
      <c r="D875" s="6"/>
      <c r="E875" s="1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2"/>
      <c r="AJ875" s="2"/>
      <c r="AK875" s="2"/>
      <c r="AL875" s="2"/>
      <c r="AM875" s="2"/>
      <c r="AN875" s="2"/>
    </row>
    <row r="876" spans="1:40" x14ac:dyDescent="0.25">
      <c r="A876" s="16"/>
      <c r="B876" s="27"/>
      <c r="C876" s="9"/>
      <c r="D876" s="6"/>
      <c r="E876" s="1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2"/>
      <c r="AJ876" s="2"/>
      <c r="AK876" s="2"/>
      <c r="AL876" s="2"/>
      <c r="AM876" s="2"/>
      <c r="AN876" s="2"/>
    </row>
    <row r="877" spans="1:40" x14ac:dyDescent="0.25">
      <c r="A877" s="16"/>
      <c r="B877" s="27"/>
      <c r="C877" s="9"/>
      <c r="D877" s="6"/>
      <c r="E877" s="1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2"/>
      <c r="AJ877" s="2"/>
      <c r="AK877" s="2"/>
      <c r="AL877" s="2"/>
      <c r="AM877" s="2"/>
      <c r="AN877" s="2"/>
    </row>
    <row r="878" spans="1:40" x14ac:dyDescent="0.25">
      <c r="A878" s="16"/>
      <c r="B878" s="27"/>
      <c r="C878" s="9"/>
      <c r="D878" s="6"/>
      <c r="E878" s="1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2"/>
      <c r="AJ878" s="2"/>
      <c r="AK878" s="2"/>
      <c r="AL878" s="2"/>
      <c r="AM878" s="2"/>
      <c r="AN878" s="2"/>
    </row>
    <row r="879" spans="1:40" x14ac:dyDescent="0.25">
      <c r="A879" s="16"/>
      <c r="B879" s="27"/>
      <c r="C879" s="9"/>
      <c r="D879" s="6"/>
      <c r="E879" s="1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2"/>
      <c r="AJ879" s="2"/>
      <c r="AK879" s="2"/>
      <c r="AL879" s="2"/>
      <c r="AM879" s="2"/>
      <c r="AN879" s="2"/>
    </row>
    <row r="880" spans="1:40" x14ac:dyDescent="0.25">
      <c r="A880" s="16"/>
      <c r="B880" s="27"/>
      <c r="C880" s="9"/>
      <c r="D880" s="6"/>
      <c r="E880" s="1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2"/>
      <c r="AJ880" s="2"/>
      <c r="AK880" s="2"/>
      <c r="AL880" s="2"/>
      <c r="AM880" s="2"/>
      <c r="AN880" s="2"/>
    </row>
    <row r="881" spans="1:40" x14ac:dyDescent="0.25">
      <c r="A881" s="16"/>
      <c r="B881" s="27"/>
      <c r="C881" s="9"/>
      <c r="D881" s="6"/>
      <c r="E881" s="1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2"/>
      <c r="AJ881" s="2"/>
      <c r="AK881" s="2"/>
      <c r="AL881" s="2"/>
      <c r="AM881" s="2"/>
      <c r="AN881" s="2"/>
    </row>
    <row r="882" spans="1:40" x14ac:dyDescent="0.25">
      <c r="A882" s="16"/>
      <c r="B882" s="27"/>
      <c r="C882" s="9"/>
      <c r="D882" s="6"/>
      <c r="E882" s="1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2"/>
      <c r="AJ882" s="2"/>
      <c r="AK882" s="2"/>
      <c r="AL882" s="2"/>
      <c r="AM882" s="2"/>
      <c r="AN882" s="2"/>
    </row>
    <row r="883" spans="1:40" x14ac:dyDescent="0.25">
      <c r="A883" s="16"/>
      <c r="B883" s="27"/>
      <c r="C883" s="9"/>
      <c r="D883" s="6"/>
      <c r="E883" s="1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2"/>
      <c r="AJ883" s="2"/>
      <c r="AK883" s="2"/>
      <c r="AL883" s="2"/>
      <c r="AM883" s="2"/>
      <c r="AN883" s="2"/>
    </row>
    <row r="884" spans="1:40" x14ac:dyDescent="0.25">
      <c r="A884" s="16"/>
      <c r="B884" s="27"/>
      <c r="C884" s="9"/>
      <c r="D884" s="6"/>
      <c r="E884" s="1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2"/>
      <c r="AJ884" s="2"/>
      <c r="AK884" s="2"/>
      <c r="AL884" s="2"/>
      <c r="AM884" s="2"/>
      <c r="AN884" s="2"/>
    </row>
    <row r="885" spans="1:40" x14ac:dyDescent="0.25">
      <c r="A885" s="16"/>
      <c r="B885" s="27"/>
      <c r="C885" s="9"/>
      <c r="D885" s="6"/>
      <c r="E885" s="1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2"/>
      <c r="AJ885" s="2"/>
      <c r="AK885" s="2"/>
      <c r="AL885" s="2"/>
      <c r="AM885" s="2"/>
      <c r="AN885" s="2"/>
    </row>
    <row r="886" spans="1:40" x14ac:dyDescent="0.25">
      <c r="A886" s="16"/>
      <c r="B886" s="27"/>
      <c r="C886" s="9"/>
      <c r="D886" s="6"/>
      <c r="E886" s="1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2"/>
      <c r="AJ886" s="2"/>
      <c r="AK886" s="2"/>
      <c r="AL886" s="2"/>
      <c r="AM886" s="2"/>
      <c r="AN886" s="2"/>
    </row>
    <row r="887" spans="1:40" x14ac:dyDescent="0.25">
      <c r="A887" s="16"/>
      <c r="B887" s="27"/>
      <c r="C887" s="9"/>
      <c r="D887" s="6"/>
      <c r="E887" s="1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2"/>
      <c r="AJ887" s="2"/>
      <c r="AK887" s="2"/>
      <c r="AL887" s="2"/>
      <c r="AM887" s="2"/>
      <c r="AN887" s="2"/>
    </row>
    <row r="888" spans="1:40" x14ac:dyDescent="0.25">
      <c r="A888" s="16"/>
      <c r="B888" s="27"/>
      <c r="C888" s="9"/>
      <c r="D888" s="6"/>
      <c r="E888" s="1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2"/>
      <c r="AJ888" s="2"/>
      <c r="AK888" s="2"/>
      <c r="AL888" s="2"/>
      <c r="AM888" s="2"/>
      <c r="AN888" s="2"/>
    </row>
    <row r="889" spans="1:40" x14ac:dyDescent="0.25">
      <c r="A889" s="16"/>
      <c r="B889" s="27"/>
      <c r="C889" s="9"/>
      <c r="D889" s="6"/>
      <c r="E889" s="1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2"/>
      <c r="AJ889" s="2"/>
      <c r="AK889" s="2"/>
      <c r="AL889" s="2"/>
      <c r="AM889" s="2"/>
      <c r="AN889" s="2"/>
    </row>
    <row r="890" spans="1:40" x14ac:dyDescent="0.25">
      <c r="A890" s="16"/>
      <c r="B890" s="27"/>
      <c r="C890" s="9"/>
      <c r="D890" s="6"/>
      <c r="E890" s="1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2"/>
      <c r="AJ890" s="2"/>
      <c r="AK890" s="2"/>
      <c r="AL890" s="2"/>
      <c r="AM890" s="2"/>
      <c r="AN890" s="2"/>
    </row>
    <row r="891" spans="1:40" x14ac:dyDescent="0.25">
      <c r="A891" s="16"/>
      <c r="B891" s="27"/>
      <c r="C891" s="9"/>
      <c r="D891" s="6"/>
      <c r="E891" s="1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2"/>
      <c r="AJ891" s="2"/>
      <c r="AK891" s="2"/>
      <c r="AL891" s="2"/>
      <c r="AM891" s="2"/>
      <c r="AN891" s="2"/>
    </row>
    <row r="892" spans="1:40" x14ac:dyDescent="0.25">
      <c r="A892" s="16"/>
      <c r="B892" s="27"/>
      <c r="C892" s="9"/>
      <c r="D892" s="6"/>
      <c r="E892" s="1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2"/>
      <c r="AJ892" s="2"/>
      <c r="AK892" s="2"/>
      <c r="AL892" s="2"/>
      <c r="AM892" s="2"/>
      <c r="AN892" s="2"/>
    </row>
    <row r="893" spans="1:40" x14ac:dyDescent="0.25">
      <c r="A893" s="16"/>
      <c r="B893" s="27"/>
      <c r="C893" s="9"/>
      <c r="D893" s="6"/>
      <c r="E893" s="1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2"/>
      <c r="AJ893" s="2"/>
      <c r="AK893" s="2"/>
      <c r="AL893" s="2"/>
      <c r="AM893" s="2"/>
      <c r="AN893" s="2"/>
    </row>
    <row r="894" spans="1:40" x14ac:dyDescent="0.25">
      <c r="A894" s="16"/>
      <c r="B894" s="27"/>
      <c r="C894" s="9"/>
      <c r="D894" s="6"/>
      <c r="E894" s="1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2"/>
      <c r="AJ894" s="2"/>
      <c r="AK894" s="2"/>
      <c r="AL894" s="2"/>
      <c r="AM894" s="2"/>
      <c r="AN894" s="2"/>
    </row>
    <row r="895" spans="1:40" x14ac:dyDescent="0.25">
      <c r="A895" s="16"/>
      <c r="B895" s="27"/>
      <c r="C895" s="9"/>
      <c r="D895" s="6"/>
      <c r="E895" s="1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2"/>
      <c r="AJ895" s="2"/>
      <c r="AK895" s="2"/>
      <c r="AL895" s="2"/>
      <c r="AM895" s="2"/>
      <c r="AN895" s="2"/>
    </row>
    <row r="896" spans="1:40" x14ac:dyDescent="0.25">
      <c r="A896" s="16"/>
      <c r="B896" s="27"/>
      <c r="C896" s="9"/>
      <c r="D896" s="6"/>
      <c r="E896" s="1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2"/>
      <c r="AJ896" s="2"/>
      <c r="AK896" s="2"/>
      <c r="AL896" s="2"/>
      <c r="AM896" s="2"/>
      <c r="AN896" s="2"/>
    </row>
    <row r="897" spans="1:40" x14ac:dyDescent="0.25">
      <c r="A897" s="16"/>
      <c r="B897" s="27"/>
      <c r="C897" s="9"/>
      <c r="D897" s="6"/>
      <c r="E897" s="1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2"/>
      <c r="AJ897" s="2"/>
      <c r="AK897" s="2"/>
      <c r="AL897" s="2"/>
      <c r="AM897" s="2"/>
      <c r="AN897" s="2"/>
    </row>
    <row r="898" spans="1:40" x14ac:dyDescent="0.25">
      <c r="A898" s="16"/>
      <c r="B898" s="27"/>
      <c r="C898" s="9"/>
      <c r="D898" s="6"/>
      <c r="E898" s="1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2"/>
      <c r="AJ898" s="2"/>
      <c r="AK898" s="2"/>
      <c r="AL898" s="2"/>
      <c r="AM898" s="2"/>
      <c r="AN898" s="2"/>
    </row>
    <row r="899" spans="1:40" x14ac:dyDescent="0.25">
      <c r="A899" s="16"/>
      <c r="B899" s="27"/>
      <c r="C899" s="9"/>
      <c r="D899" s="6"/>
      <c r="E899" s="1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2"/>
      <c r="AJ899" s="2"/>
      <c r="AK899" s="2"/>
      <c r="AL899" s="2"/>
      <c r="AM899" s="2"/>
      <c r="AN899" s="2"/>
    </row>
    <row r="900" spans="1:40" x14ac:dyDescent="0.25">
      <c r="A900" s="16"/>
      <c r="B900" s="27"/>
      <c r="C900" s="9"/>
      <c r="D900" s="6"/>
      <c r="E900" s="1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2"/>
      <c r="AJ900" s="2"/>
      <c r="AK900" s="2"/>
      <c r="AL900" s="2"/>
      <c r="AM900" s="2"/>
      <c r="AN900" s="2"/>
    </row>
    <row r="901" spans="1:40" x14ac:dyDescent="0.25">
      <c r="A901" s="16"/>
      <c r="B901" s="27"/>
      <c r="C901" s="9"/>
      <c r="D901" s="6"/>
      <c r="E901" s="1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2"/>
      <c r="AJ901" s="2"/>
      <c r="AK901" s="2"/>
      <c r="AL901" s="2"/>
      <c r="AM901" s="2"/>
      <c r="AN901" s="2"/>
    </row>
    <row r="902" spans="1:40" x14ac:dyDescent="0.25">
      <c r="A902" s="16"/>
      <c r="B902" s="27"/>
      <c r="C902" s="9"/>
      <c r="D902" s="6"/>
      <c r="E902" s="1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2"/>
      <c r="AJ902" s="2"/>
      <c r="AK902" s="2"/>
      <c r="AL902" s="2"/>
      <c r="AM902" s="2"/>
      <c r="AN902" s="2"/>
    </row>
    <row r="903" spans="1:40" x14ac:dyDescent="0.25">
      <c r="A903" s="16"/>
      <c r="B903" s="27"/>
      <c r="C903" s="9"/>
      <c r="D903" s="6"/>
      <c r="E903" s="1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2"/>
      <c r="AJ903" s="2"/>
      <c r="AK903" s="2"/>
      <c r="AL903" s="2"/>
      <c r="AM903" s="2"/>
      <c r="AN903" s="2"/>
    </row>
    <row r="904" spans="1:40" x14ac:dyDescent="0.25">
      <c r="A904" s="16"/>
      <c r="B904" s="27"/>
      <c r="C904" s="9"/>
      <c r="D904" s="6"/>
      <c r="E904" s="1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2"/>
      <c r="AJ904" s="2"/>
      <c r="AK904" s="2"/>
      <c r="AL904" s="2"/>
      <c r="AM904" s="2"/>
      <c r="AN904" s="2"/>
    </row>
    <row r="905" spans="1:40" x14ac:dyDescent="0.25">
      <c r="A905" s="16"/>
      <c r="B905" s="27"/>
      <c r="C905" s="9"/>
      <c r="D905" s="6"/>
      <c r="E905" s="1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2"/>
      <c r="AJ905" s="2"/>
      <c r="AK905" s="2"/>
      <c r="AL905" s="2"/>
      <c r="AM905" s="2"/>
      <c r="AN905" s="2"/>
    </row>
    <row r="906" spans="1:40" x14ac:dyDescent="0.25">
      <c r="A906" s="16"/>
      <c r="B906" s="27"/>
      <c r="C906" s="9"/>
      <c r="D906" s="6"/>
      <c r="E906" s="1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2"/>
      <c r="AJ906" s="2"/>
      <c r="AK906" s="2"/>
      <c r="AL906" s="2"/>
      <c r="AM906" s="2"/>
      <c r="AN906" s="2"/>
    </row>
    <row r="907" spans="1:40" x14ac:dyDescent="0.25">
      <c r="A907" s="16"/>
      <c r="B907" s="27"/>
      <c r="C907" s="9"/>
      <c r="D907" s="6"/>
      <c r="E907" s="1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2"/>
      <c r="AJ907" s="2"/>
      <c r="AK907" s="2"/>
      <c r="AL907" s="2"/>
      <c r="AM907" s="2"/>
      <c r="AN907" s="2"/>
    </row>
    <row r="908" spans="1:40" x14ac:dyDescent="0.25">
      <c r="A908" s="16"/>
      <c r="B908" s="27"/>
      <c r="C908" s="9"/>
      <c r="D908" s="6"/>
      <c r="E908" s="1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2"/>
      <c r="AJ908" s="2"/>
      <c r="AK908" s="2"/>
      <c r="AL908" s="2"/>
      <c r="AM908" s="2"/>
      <c r="AN908" s="2"/>
    </row>
    <row r="909" spans="1:40" x14ac:dyDescent="0.25">
      <c r="A909" s="16"/>
      <c r="B909" s="27"/>
      <c r="C909" s="9"/>
      <c r="D909" s="6"/>
      <c r="E909" s="1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2"/>
      <c r="AJ909" s="2"/>
      <c r="AK909" s="2"/>
      <c r="AL909" s="2"/>
      <c r="AM909" s="2"/>
      <c r="AN909" s="2"/>
    </row>
    <row r="910" spans="1:40" x14ac:dyDescent="0.25">
      <c r="A910" s="16"/>
      <c r="B910" s="27"/>
      <c r="C910" s="9"/>
      <c r="D910" s="6"/>
      <c r="E910" s="1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  <c r="AG910" s="16"/>
      <c r="AH910" s="16"/>
      <c r="AI910" s="2"/>
      <c r="AJ910" s="2"/>
      <c r="AK910" s="2"/>
      <c r="AL910" s="2"/>
      <c r="AM910" s="2"/>
      <c r="AN910" s="2"/>
    </row>
    <row r="911" spans="1:40" x14ac:dyDescent="0.25">
      <c r="A911" s="16"/>
      <c r="B911" s="27"/>
      <c r="C911" s="9"/>
      <c r="D911" s="6"/>
      <c r="E911" s="1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  <c r="AG911" s="16"/>
      <c r="AH911" s="16"/>
      <c r="AI911" s="2"/>
      <c r="AJ911" s="2"/>
      <c r="AK911" s="2"/>
      <c r="AL911" s="2"/>
      <c r="AM911" s="2"/>
      <c r="AN911" s="2"/>
    </row>
    <row r="912" spans="1:40" x14ac:dyDescent="0.25">
      <c r="A912" s="16"/>
      <c r="B912" s="27"/>
      <c r="C912" s="9"/>
      <c r="D912" s="6"/>
      <c r="E912" s="1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  <c r="AG912" s="16"/>
      <c r="AH912" s="16"/>
      <c r="AI912" s="2"/>
      <c r="AJ912" s="2"/>
      <c r="AK912" s="2"/>
      <c r="AL912" s="2"/>
      <c r="AM912" s="2"/>
      <c r="AN912" s="2"/>
    </row>
    <row r="913" spans="1:40" x14ac:dyDescent="0.25">
      <c r="A913" s="16"/>
      <c r="B913" s="27"/>
      <c r="C913" s="9"/>
      <c r="D913" s="6"/>
      <c r="E913" s="1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  <c r="AG913" s="16"/>
      <c r="AH913" s="16"/>
      <c r="AI913" s="2"/>
      <c r="AJ913" s="2"/>
      <c r="AK913" s="2"/>
      <c r="AL913" s="2"/>
      <c r="AM913" s="2"/>
      <c r="AN913" s="2"/>
    </row>
    <row r="914" spans="1:40" x14ac:dyDescent="0.25">
      <c r="A914" s="16"/>
      <c r="B914" s="27"/>
      <c r="C914" s="9"/>
      <c r="D914" s="6"/>
      <c r="E914" s="1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  <c r="AG914" s="16"/>
      <c r="AH914" s="16"/>
      <c r="AI914" s="2"/>
      <c r="AJ914" s="2"/>
      <c r="AK914" s="2"/>
      <c r="AL914" s="2"/>
      <c r="AM914" s="2"/>
      <c r="AN914" s="2"/>
    </row>
    <row r="915" spans="1:40" x14ac:dyDescent="0.25">
      <c r="A915" s="16"/>
      <c r="B915" s="27"/>
      <c r="C915" s="9"/>
      <c r="D915" s="6"/>
      <c r="E915" s="1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  <c r="AG915" s="16"/>
      <c r="AH915" s="16"/>
      <c r="AI915" s="2"/>
      <c r="AJ915" s="2"/>
      <c r="AK915" s="2"/>
      <c r="AL915" s="2"/>
      <c r="AM915" s="2"/>
      <c r="AN915" s="2"/>
    </row>
    <row r="916" spans="1:40" x14ac:dyDescent="0.25">
      <c r="A916" s="16"/>
      <c r="B916" s="27"/>
      <c r="C916" s="9"/>
      <c r="D916" s="6"/>
      <c r="E916" s="1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  <c r="AG916" s="16"/>
      <c r="AH916" s="16"/>
      <c r="AI916" s="2"/>
      <c r="AJ916" s="2"/>
      <c r="AK916" s="2"/>
      <c r="AL916" s="2"/>
      <c r="AM916" s="2"/>
      <c r="AN916" s="2"/>
    </row>
    <row r="917" spans="1:40" x14ac:dyDescent="0.25">
      <c r="A917" s="16"/>
      <c r="B917" s="27"/>
      <c r="C917" s="9"/>
      <c r="D917" s="6"/>
      <c r="E917" s="1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  <c r="AG917" s="16"/>
      <c r="AH917" s="16"/>
      <c r="AI917" s="2"/>
      <c r="AJ917" s="2"/>
      <c r="AK917" s="2"/>
      <c r="AL917" s="2"/>
      <c r="AM917" s="2"/>
      <c r="AN917" s="2"/>
    </row>
    <row r="918" spans="1:40" x14ac:dyDescent="0.25">
      <c r="A918" s="16"/>
      <c r="B918" s="27"/>
      <c r="C918" s="9"/>
      <c r="D918" s="6"/>
      <c r="E918" s="1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  <c r="AG918" s="16"/>
      <c r="AH918" s="16"/>
      <c r="AI918" s="2"/>
      <c r="AJ918" s="2"/>
      <c r="AK918" s="2"/>
      <c r="AL918" s="2"/>
      <c r="AM918" s="2"/>
      <c r="AN918" s="2"/>
    </row>
    <row r="919" spans="1:40" x14ac:dyDescent="0.25">
      <c r="A919" s="16"/>
      <c r="B919" s="27"/>
      <c r="C919" s="9"/>
      <c r="D919" s="6"/>
      <c r="E919" s="1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  <c r="AG919" s="16"/>
      <c r="AH919" s="16"/>
      <c r="AI919" s="2"/>
      <c r="AJ919" s="2"/>
      <c r="AK919" s="2"/>
      <c r="AL919" s="2"/>
      <c r="AM919" s="2"/>
      <c r="AN919" s="2"/>
    </row>
    <row r="920" spans="1:40" x14ac:dyDescent="0.25">
      <c r="A920" s="16"/>
      <c r="B920" s="27"/>
      <c r="C920" s="9"/>
      <c r="D920" s="6"/>
      <c r="E920" s="1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  <c r="AG920" s="16"/>
      <c r="AH920" s="16"/>
      <c r="AI920" s="2"/>
      <c r="AJ920" s="2"/>
      <c r="AK920" s="2"/>
      <c r="AL920" s="2"/>
      <c r="AM920" s="2"/>
      <c r="AN920" s="2"/>
    </row>
    <row r="921" spans="1:40" x14ac:dyDescent="0.25">
      <c r="A921" s="16"/>
      <c r="B921" s="27"/>
      <c r="C921" s="9"/>
      <c r="D921" s="6"/>
      <c r="E921" s="1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  <c r="AG921" s="16"/>
      <c r="AH921" s="16"/>
      <c r="AI921" s="2"/>
      <c r="AJ921" s="2"/>
      <c r="AK921" s="2"/>
      <c r="AL921" s="2"/>
      <c r="AM921" s="2"/>
      <c r="AN921" s="2"/>
    </row>
    <row r="922" spans="1:40" x14ac:dyDescent="0.25">
      <c r="A922" s="16"/>
      <c r="B922" s="27"/>
      <c r="C922" s="9"/>
      <c r="D922" s="6"/>
      <c r="E922" s="1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  <c r="AG922" s="16"/>
      <c r="AH922" s="16"/>
      <c r="AI922" s="2"/>
      <c r="AJ922" s="2"/>
      <c r="AK922" s="2"/>
      <c r="AL922" s="2"/>
      <c r="AM922" s="2"/>
      <c r="AN922" s="2"/>
    </row>
    <row r="923" spans="1:40" x14ac:dyDescent="0.25">
      <c r="A923" s="16"/>
      <c r="B923" s="27"/>
      <c r="C923" s="9"/>
      <c r="D923" s="6"/>
      <c r="E923" s="1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  <c r="AG923" s="16"/>
      <c r="AH923" s="16"/>
      <c r="AI923" s="2"/>
      <c r="AJ923" s="2"/>
      <c r="AK923" s="2"/>
      <c r="AL923" s="2"/>
      <c r="AM923" s="2"/>
      <c r="AN923" s="2"/>
    </row>
    <row r="924" spans="1:40" x14ac:dyDescent="0.25">
      <c r="A924" s="16"/>
      <c r="B924" s="27"/>
      <c r="C924" s="9"/>
      <c r="D924" s="6"/>
      <c r="E924" s="1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  <c r="AG924" s="16"/>
      <c r="AH924" s="16"/>
      <c r="AI924" s="2"/>
      <c r="AJ924" s="2"/>
      <c r="AK924" s="2"/>
      <c r="AL924" s="2"/>
      <c r="AM924" s="2"/>
      <c r="AN924" s="2"/>
    </row>
    <row r="925" spans="1:40" x14ac:dyDescent="0.25">
      <c r="A925" s="16"/>
      <c r="B925" s="27"/>
      <c r="C925" s="9"/>
      <c r="D925" s="6"/>
      <c r="E925" s="1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  <c r="AG925" s="16"/>
      <c r="AH925" s="16"/>
      <c r="AI925" s="2"/>
      <c r="AJ925" s="2"/>
      <c r="AK925" s="2"/>
      <c r="AL925" s="2"/>
      <c r="AM925" s="2"/>
      <c r="AN925" s="2"/>
    </row>
    <row r="926" spans="1:40" x14ac:dyDescent="0.25">
      <c r="A926" s="16"/>
      <c r="B926" s="27"/>
      <c r="C926" s="9"/>
      <c r="D926" s="6"/>
      <c r="E926" s="1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  <c r="AG926" s="16"/>
      <c r="AH926" s="16"/>
      <c r="AI926" s="2"/>
      <c r="AJ926" s="2"/>
      <c r="AK926" s="2"/>
      <c r="AL926" s="2"/>
      <c r="AM926" s="2"/>
      <c r="AN926" s="2"/>
    </row>
    <row r="927" spans="1:40" x14ac:dyDescent="0.25">
      <c r="A927" s="16"/>
      <c r="B927" s="27"/>
      <c r="C927" s="9"/>
      <c r="D927" s="6"/>
      <c r="E927" s="1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  <c r="AG927" s="16"/>
      <c r="AH927" s="16"/>
      <c r="AI927" s="2"/>
      <c r="AJ927" s="2"/>
      <c r="AK927" s="2"/>
      <c r="AL927" s="2"/>
      <c r="AM927" s="2"/>
      <c r="AN927" s="2"/>
    </row>
    <row r="928" spans="1:40" x14ac:dyDescent="0.25">
      <c r="A928" s="16"/>
      <c r="B928" s="27"/>
      <c r="C928" s="9"/>
      <c r="D928" s="6"/>
      <c r="E928" s="1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  <c r="AG928" s="16"/>
      <c r="AH928" s="16"/>
      <c r="AI928" s="2"/>
      <c r="AJ928" s="2"/>
      <c r="AK928" s="2"/>
      <c r="AL928" s="2"/>
      <c r="AM928" s="2"/>
      <c r="AN928" s="2"/>
    </row>
    <row r="929" spans="1:40" x14ac:dyDescent="0.25">
      <c r="A929" s="16"/>
      <c r="B929" s="27"/>
      <c r="C929" s="9"/>
      <c r="D929" s="6"/>
      <c r="E929" s="1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  <c r="AG929" s="16"/>
      <c r="AH929" s="16"/>
      <c r="AI929" s="2"/>
      <c r="AJ929" s="2"/>
      <c r="AK929" s="2"/>
      <c r="AL929" s="2"/>
      <c r="AM929" s="2"/>
      <c r="AN929" s="2"/>
    </row>
    <row r="930" spans="1:40" x14ac:dyDescent="0.25">
      <c r="A930" s="16"/>
      <c r="B930" s="27"/>
      <c r="C930" s="9"/>
      <c r="D930" s="6"/>
      <c r="E930" s="1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2"/>
      <c r="AJ930" s="2"/>
      <c r="AK930" s="2"/>
      <c r="AL930" s="2"/>
      <c r="AM930" s="2"/>
      <c r="AN930" s="2"/>
    </row>
    <row r="931" spans="1:40" x14ac:dyDescent="0.25">
      <c r="A931" s="16"/>
      <c r="B931" s="27"/>
      <c r="C931" s="9"/>
      <c r="D931" s="6"/>
      <c r="E931" s="1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  <c r="AG931" s="16"/>
      <c r="AH931" s="16"/>
      <c r="AI931" s="2"/>
      <c r="AJ931" s="2"/>
      <c r="AK931" s="2"/>
      <c r="AL931" s="2"/>
      <c r="AM931" s="2"/>
      <c r="AN931" s="2"/>
    </row>
    <row r="932" spans="1:40" x14ac:dyDescent="0.25">
      <c r="A932" s="16"/>
      <c r="B932" s="27"/>
      <c r="C932" s="9"/>
      <c r="D932" s="6"/>
      <c r="E932" s="1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  <c r="AG932" s="16"/>
      <c r="AH932" s="16"/>
      <c r="AI932" s="2"/>
      <c r="AJ932" s="2"/>
      <c r="AK932" s="2"/>
      <c r="AL932" s="2"/>
      <c r="AM932" s="2"/>
      <c r="AN932" s="2"/>
    </row>
    <row r="933" spans="1:40" x14ac:dyDescent="0.25">
      <c r="A933" s="16"/>
      <c r="B933" s="27"/>
      <c r="C933" s="9"/>
      <c r="D933" s="6"/>
      <c r="E933" s="1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  <c r="AG933" s="16"/>
      <c r="AH933" s="16"/>
      <c r="AI933" s="2"/>
      <c r="AJ933" s="2"/>
      <c r="AK933" s="2"/>
      <c r="AL933" s="2"/>
      <c r="AM933" s="2"/>
      <c r="AN933" s="2"/>
    </row>
    <row r="934" spans="1:40" x14ac:dyDescent="0.25">
      <c r="A934" s="16"/>
      <c r="B934" s="27"/>
      <c r="C934" s="9"/>
      <c r="D934" s="6"/>
      <c r="E934" s="1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  <c r="AG934" s="16"/>
      <c r="AH934" s="16"/>
      <c r="AI934" s="2"/>
      <c r="AJ934" s="2"/>
      <c r="AK934" s="2"/>
      <c r="AL934" s="2"/>
      <c r="AM934" s="2"/>
      <c r="AN934" s="2"/>
    </row>
    <row r="935" spans="1:40" x14ac:dyDescent="0.25">
      <c r="A935" s="16"/>
      <c r="B935" s="27"/>
      <c r="C935" s="9"/>
      <c r="D935" s="6"/>
      <c r="E935" s="1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  <c r="AG935" s="16"/>
      <c r="AH935" s="16"/>
      <c r="AI935" s="2"/>
      <c r="AJ935" s="2"/>
      <c r="AK935" s="2"/>
      <c r="AL935" s="2"/>
      <c r="AM935" s="2"/>
      <c r="AN935" s="2"/>
    </row>
    <row r="936" spans="1:40" x14ac:dyDescent="0.25">
      <c r="A936" s="16"/>
      <c r="B936" s="27"/>
      <c r="C936" s="9"/>
      <c r="D936" s="6"/>
      <c r="E936" s="1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  <c r="AG936" s="16"/>
      <c r="AH936" s="16"/>
      <c r="AI936" s="2"/>
      <c r="AJ936" s="2"/>
      <c r="AK936" s="2"/>
      <c r="AL936" s="2"/>
      <c r="AM936" s="2"/>
      <c r="AN936" s="2"/>
    </row>
    <row r="937" spans="1:40" x14ac:dyDescent="0.25">
      <c r="A937" s="16"/>
      <c r="B937" s="27"/>
      <c r="C937" s="9"/>
      <c r="D937" s="6"/>
      <c r="E937" s="1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  <c r="AG937" s="16"/>
      <c r="AH937" s="16"/>
      <c r="AI937" s="2"/>
      <c r="AJ937" s="2"/>
      <c r="AK937" s="2"/>
      <c r="AL937" s="2"/>
      <c r="AM937" s="2"/>
      <c r="AN937" s="2"/>
    </row>
    <row r="938" spans="1:40" x14ac:dyDescent="0.25">
      <c r="A938" s="16"/>
      <c r="B938" s="27"/>
      <c r="C938" s="9"/>
      <c r="D938" s="6"/>
      <c r="E938" s="1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  <c r="AG938" s="16"/>
      <c r="AH938" s="16"/>
      <c r="AI938" s="2"/>
      <c r="AJ938" s="2"/>
      <c r="AK938" s="2"/>
      <c r="AL938" s="2"/>
      <c r="AM938" s="2"/>
      <c r="AN938" s="2"/>
    </row>
    <row r="939" spans="1:40" x14ac:dyDescent="0.25">
      <c r="A939" s="16"/>
      <c r="B939" s="27"/>
      <c r="C939" s="9"/>
      <c r="D939" s="6"/>
      <c r="E939" s="1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  <c r="AG939" s="16"/>
      <c r="AH939" s="16"/>
      <c r="AI939" s="2"/>
      <c r="AJ939" s="2"/>
      <c r="AK939" s="2"/>
      <c r="AL939" s="2"/>
      <c r="AM939" s="2"/>
      <c r="AN939" s="2"/>
    </row>
    <row r="940" spans="1:40" x14ac:dyDescent="0.25">
      <c r="A940" s="16"/>
      <c r="B940" s="27"/>
      <c r="C940" s="9"/>
      <c r="D940" s="6"/>
      <c r="E940" s="1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2"/>
      <c r="AJ940" s="2"/>
      <c r="AK940" s="2"/>
      <c r="AL940" s="2"/>
      <c r="AM940" s="2"/>
      <c r="AN940" s="2"/>
    </row>
    <row r="941" spans="1:40" x14ac:dyDescent="0.25">
      <c r="A941" s="16"/>
      <c r="B941" s="27"/>
      <c r="C941" s="9"/>
      <c r="D941" s="6"/>
      <c r="E941" s="1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  <c r="AG941" s="16"/>
      <c r="AH941" s="16"/>
      <c r="AI941" s="2"/>
      <c r="AJ941" s="2"/>
      <c r="AK941" s="2"/>
      <c r="AL941" s="2"/>
      <c r="AM941" s="2"/>
      <c r="AN941" s="2"/>
    </row>
    <row r="942" spans="1:40" x14ac:dyDescent="0.25">
      <c r="A942" s="16"/>
      <c r="B942" s="27"/>
      <c r="C942" s="9"/>
      <c r="D942" s="6"/>
      <c r="E942" s="1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  <c r="AG942" s="16"/>
      <c r="AH942" s="16"/>
      <c r="AI942" s="2"/>
      <c r="AJ942" s="2"/>
      <c r="AK942" s="2"/>
      <c r="AL942" s="2"/>
      <c r="AM942" s="2"/>
      <c r="AN942" s="2"/>
    </row>
    <row r="943" spans="1:40" x14ac:dyDescent="0.25">
      <c r="A943" s="16"/>
      <c r="B943" s="27"/>
      <c r="C943" s="9"/>
      <c r="D943" s="6"/>
      <c r="E943" s="1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  <c r="AG943" s="16"/>
      <c r="AH943" s="16"/>
      <c r="AI943" s="2"/>
      <c r="AJ943" s="2"/>
      <c r="AK943" s="2"/>
      <c r="AL943" s="2"/>
      <c r="AM943" s="2"/>
      <c r="AN943" s="2"/>
    </row>
    <row r="944" spans="1:40" x14ac:dyDescent="0.25">
      <c r="A944" s="16"/>
      <c r="B944" s="27"/>
      <c r="C944" s="9"/>
      <c r="D944" s="6"/>
      <c r="E944" s="1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  <c r="AG944" s="16"/>
      <c r="AH944" s="16"/>
      <c r="AI944" s="2"/>
      <c r="AJ944" s="2"/>
      <c r="AK944" s="2"/>
      <c r="AL944" s="2"/>
      <c r="AM944" s="2"/>
      <c r="AN944" s="2"/>
    </row>
    <row r="945" spans="1:40" x14ac:dyDescent="0.25">
      <c r="A945" s="16"/>
      <c r="B945" s="27"/>
      <c r="C945" s="9"/>
      <c r="D945" s="6"/>
      <c r="E945" s="1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  <c r="AG945" s="16"/>
      <c r="AH945" s="16"/>
      <c r="AI945" s="2"/>
      <c r="AJ945" s="2"/>
      <c r="AK945" s="2"/>
      <c r="AL945" s="2"/>
      <c r="AM945" s="2"/>
      <c r="AN945" s="2"/>
    </row>
    <row r="946" spans="1:40" x14ac:dyDescent="0.25">
      <c r="A946" s="16"/>
      <c r="B946" s="27"/>
      <c r="C946" s="9"/>
      <c r="D946" s="6"/>
      <c r="E946" s="1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  <c r="AG946" s="16"/>
      <c r="AH946" s="16"/>
      <c r="AI946" s="2"/>
      <c r="AJ946" s="2"/>
      <c r="AK946" s="2"/>
      <c r="AL946" s="2"/>
      <c r="AM946" s="2"/>
      <c r="AN946" s="2"/>
    </row>
    <row r="947" spans="1:40" x14ac:dyDescent="0.25">
      <c r="A947" s="16"/>
      <c r="B947" s="27"/>
      <c r="C947" s="9"/>
      <c r="D947" s="6"/>
      <c r="E947" s="1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  <c r="AG947" s="16"/>
      <c r="AH947" s="16"/>
      <c r="AI947" s="2"/>
      <c r="AJ947" s="2"/>
      <c r="AK947" s="2"/>
      <c r="AL947" s="2"/>
      <c r="AM947" s="2"/>
      <c r="AN947" s="2"/>
    </row>
    <row r="948" spans="1:40" x14ac:dyDescent="0.25">
      <c r="A948" s="16"/>
      <c r="B948" s="27"/>
      <c r="C948" s="9"/>
      <c r="D948" s="6"/>
      <c r="E948" s="1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  <c r="AG948" s="16"/>
      <c r="AH948" s="16"/>
      <c r="AI948" s="2"/>
      <c r="AJ948" s="2"/>
      <c r="AK948" s="2"/>
      <c r="AL948" s="2"/>
      <c r="AM948" s="2"/>
      <c r="AN948" s="2"/>
    </row>
    <row r="949" spans="1:40" x14ac:dyDescent="0.25">
      <c r="A949" s="16"/>
      <c r="B949" s="27"/>
      <c r="C949" s="9"/>
      <c r="D949" s="6"/>
      <c r="E949" s="1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  <c r="AG949" s="16"/>
      <c r="AH949" s="16"/>
      <c r="AI949" s="2"/>
      <c r="AJ949" s="2"/>
      <c r="AK949" s="2"/>
      <c r="AL949" s="2"/>
      <c r="AM949" s="2"/>
      <c r="AN949" s="2"/>
    </row>
    <row r="950" spans="1:40" x14ac:dyDescent="0.25">
      <c r="A950" s="16"/>
      <c r="B950" s="27"/>
      <c r="C950" s="9"/>
      <c r="D950" s="6"/>
      <c r="E950" s="1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  <c r="AG950" s="16"/>
      <c r="AH950" s="16"/>
      <c r="AI950" s="2"/>
      <c r="AJ950" s="2"/>
      <c r="AK950" s="2"/>
      <c r="AL950" s="2"/>
      <c r="AM950" s="2"/>
      <c r="AN950" s="2"/>
    </row>
    <row r="951" spans="1:40" x14ac:dyDescent="0.25">
      <c r="A951" s="16"/>
      <c r="B951" s="27"/>
      <c r="C951" s="9"/>
      <c r="D951" s="6"/>
      <c r="E951" s="1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  <c r="AD951" s="16"/>
      <c r="AE951" s="16"/>
      <c r="AF951" s="16"/>
      <c r="AG951" s="16"/>
      <c r="AH951" s="16"/>
      <c r="AI951" s="2"/>
      <c r="AJ951" s="2"/>
      <c r="AK951" s="2"/>
      <c r="AL951" s="2"/>
      <c r="AM951" s="2"/>
      <c r="AN951" s="2"/>
    </row>
    <row r="952" spans="1:40" x14ac:dyDescent="0.25">
      <c r="A952" s="16"/>
      <c r="B952" s="27"/>
      <c r="C952" s="9"/>
      <c r="D952" s="6"/>
      <c r="E952" s="1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  <c r="AG952" s="16"/>
      <c r="AH952" s="16"/>
      <c r="AI952" s="2"/>
      <c r="AJ952" s="2"/>
      <c r="AK952" s="2"/>
      <c r="AL952" s="2"/>
      <c r="AM952" s="2"/>
      <c r="AN952" s="2"/>
    </row>
    <row r="953" spans="1:40" x14ac:dyDescent="0.25">
      <c r="A953" s="16"/>
      <c r="B953" s="27"/>
      <c r="C953" s="9"/>
      <c r="D953" s="6"/>
      <c r="E953" s="1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  <c r="AD953" s="16"/>
      <c r="AE953" s="16"/>
      <c r="AF953" s="16"/>
      <c r="AG953" s="16"/>
      <c r="AH953" s="16"/>
      <c r="AI953" s="2"/>
      <c r="AJ953" s="2"/>
      <c r="AK953" s="2"/>
      <c r="AL953" s="2"/>
      <c r="AM953" s="2"/>
      <c r="AN953" s="2"/>
    </row>
    <row r="954" spans="1:40" x14ac:dyDescent="0.25">
      <c r="A954" s="16"/>
      <c r="B954" s="27"/>
      <c r="C954" s="9"/>
      <c r="D954" s="6"/>
      <c r="E954" s="1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  <c r="AG954" s="16"/>
      <c r="AH954" s="16"/>
      <c r="AI954" s="2"/>
      <c r="AJ954" s="2"/>
      <c r="AK954" s="2"/>
      <c r="AL954" s="2"/>
      <c r="AM954" s="2"/>
      <c r="AN954" s="2"/>
    </row>
    <row r="955" spans="1:40" x14ac:dyDescent="0.25">
      <c r="A955" s="16"/>
      <c r="B955" s="27"/>
      <c r="C955" s="9"/>
      <c r="D955" s="6"/>
      <c r="E955" s="1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F955" s="16"/>
      <c r="AG955" s="16"/>
      <c r="AH955" s="16"/>
      <c r="AI955" s="2"/>
      <c r="AJ955" s="2"/>
      <c r="AK955" s="2"/>
      <c r="AL955" s="2"/>
      <c r="AM955" s="2"/>
      <c r="AN955" s="2"/>
    </row>
    <row r="956" spans="1:40" x14ac:dyDescent="0.25">
      <c r="A956" s="16"/>
      <c r="B956" s="27"/>
      <c r="C956" s="9"/>
      <c r="D956" s="6"/>
      <c r="E956" s="1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  <c r="AG956" s="16"/>
      <c r="AH956" s="16"/>
      <c r="AI956" s="2"/>
      <c r="AJ956" s="2"/>
      <c r="AK956" s="2"/>
      <c r="AL956" s="2"/>
      <c r="AM956" s="2"/>
      <c r="AN956" s="2"/>
    </row>
    <row r="957" spans="1:40" x14ac:dyDescent="0.25">
      <c r="A957" s="16"/>
      <c r="B957" s="27"/>
      <c r="C957" s="9"/>
      <c r="D957" s="6"/>
      <c r="E957" s="1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  <c r="AG957" s="16"/>
      <c r="AH957" s="16"/>
      <c r="AI957" s="2"/>
      <c r="AJ957" s="2"/>
      <c r="AK957" s="2"/>
      <c r="AL957" s="2"/>
      <c r="AM957" s="2"/>
      <c r="AN957" s="2"/>
    </row>
    <row r="958" spans="1:40" x14ac:dyDescent="0.25">
      <c r="A958" s="16"/>
      <c r="B958" s="27"/>
      <c r="C958" s="9"/>
      <c r="D958" s="6"/>
      <c r="E958" s="1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  <c r="AG958" s="16"/>
      <c r="AH958" s="16"/>
      <c r="AI958" s="2"/>
      <c r="AJ958" s="2"/>
      <c r="AK958" s="2"/>
      <c r="AL958" s="2"/>
      <c r="AM958" s="2"/>
      <c r="AN958" s="2"/>
    </row>
    <row r="959" spans="1:40" x14ac:dyDescent="0.25">
      <c r="A959" s="16"/>
      <c r="B959" s="27"/>
      <c r="C959" s="9"/>
      <c r="D959" s="6"/>
      <c r="E959" s="1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  <c r="AG959" s="16"/>
      <c r="AH959" s="16"/>
      <c r="AI959" s="2"/>
      <c r="AJ959" s="2"/>
      <c r="AK959" s="2"/>
      <c r="AL959" s="2"/>
      <c r="AM959" s="2"/>
      <c r="AN959" s="2"/>
    </row>
    <row r="960" spans="1:40" x14ac:dyDescent="0.25">
      <c r="A960" s="16"/>
      <c r="B960" s="27"/>
      <c r="C960" s="9"/>
      <c r="D960" s="6"/>
      <c r="E960" s="1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2"/>
      <c r="AJ960" s="2"/>
      <c r="AK960" s="2"/>
      <c r="AL960" s="2"/>
      <c r="AM960" s="2"/>
      <c r="AN960" s="2"/>
    </row>
    <row r="961" spans="1:40" x14ac:dyDescent="0.25">
      <c r="A961" s="16"/>
      <c r="B961" s="27"/>
      <c r="C961" s="9"/>
      <c r="D961" s="6"/>
      <c r="E961" s="1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  <c r="AG961" s="16"/>
      <c r="AH961" s="16"/>
      <c r="AI961" s="2"/>
      <c r="AJ961" s="2"/>
      <c r="AK961" s="2"/>
      <c r="AL961" s="2"/>
      <c r="AM961" s="2"/>
      <c r="AN961" s="2"/>
    </row>
    <row r="962" spans="1:40" x14ac:dyDescent="0.25">
      <c r="A962" s="16"/>
      <c r="B962" s="27"/>
      <c r="C962" s="9"/>
      <c r="D962" s="6"/>
      <c r="E962" s="1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  <c r="AI962" s="2"/>
      <c r="AJ962" s="2"/>
      <c r="AK962" s="2"/>
      <c r="AL962" s="2"/>
      <c r="AM962" s="2"/>
      <c r="AN962" s="2"/>
    </row>
    <row r="963" spans="1:40" x14ac:dyDescent="0.25">
      <c r="A963" s="16"/>
      <c r="B963" s="27"/>
      <c r="C963" s="9"/>
      <c r="D963" s="6"/>
      <c r="E963" s="1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  <c r="AG963" s="16"/>
      <c r="AH963" s="16"/>
      <c r="AI963" s="2"/>
      <c r="AJ963" s="2"/>
      <c r="AK963" s="2"/>
      <c r="AL963" s="2"/>
      <c r="AM963" s="2"/>
      <c r="AN963" s="2"/>
    </row>
    <row r="964" spans="1:40" x14ac:dyDescent="0.25">
      <c r="A964" s="16"/>
      <c r="B964" s="27"/>
      <c r="C964" s="9"/>
      <c r="D964" s="6"/>
      <c r="E964" s="1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  <c r="AG964" s="16"/>
      <c r="AH964" s="16"/>
      <c r="AI964" s="2"/>
      <c r="AJ964" s="2"/>
      <c r="AK964" s="2"/>
      <c r="AL964" s="2"/>
      <c r="AM964" s="2"/>
      <c r="AN964" s="2"/>
    </row>
    <row r="965" spans="1:40" x14ac:dyDescent="0.25">
      <c r="A965" s="16"/>
      <c r="B965" s="27"/>
      <c r="C965" s="9"/>
      <c r="D965" s="6"/>
      <c r="E965" s="1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  <c r="AG965" s="16"/>
      <c r="AH965" s="16"/>
      <c r="AI965" s="2"/>
      <c r="AJ965" s="2"/>
      <c r="AK965" s="2"/>
      <c r="AL965" s="2"/>
      <c r="AM965" s="2"/>
      <c r="AN965" s="2"/>
    </row>
    <row r="966" spans="1:40" x14ac:dyDescent="0.25">
      <c r="A966" s="16"/>
      <c r="B966" s="27"/>
      <c r="C966" s="9"/>
      <c r="D966" s="6"/>
      <c r="E966" s="1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  <c r="AG966" s="16"/>
      <c r="AH966" s="16"/>
      <c r="AI966" s="2"/>
      <c r="AJ966" s="2"/>
      <c r="AK966" s="2"/>
      <c r="AL966" s="2"/>
      <c r="AM966" s="2"/>
      <c r="AN966" s="2"/>
    </row>
    <row r="967" spans="1:40" x14ac:dyDescent="0.25">
      <c r="A967" s="16"/>
      <c r="B967" s="27"/>
      <c r="C967" s="9"/>
      <c r="D967" s="6"/>
      <c r="E967" s="1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6"/>
      <c r="AF967" s="16"/>
      <c r="AG967" s="16"/>
      <c r="AH967" s="16"/>
      <c r="AI967" s="2"/>
      <c r="AJ967" s="2"/>
      <c r="AK967" s="2"/>
      <c r="AL967" s="2"/>
      <c r="AM967" s="2"/>
      <c r="AN967" s="2"/>
    </row>
    <row r="968" spans="1:40" x14ac:dyDescent="0.25">
      <c r="A968" s="16"/>
      <c r="B968" s="27"/>
      <c r="C968" s="9"/>
      <c r="D968" s="6"/>
      <c r="E968" s="1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  <c r="AD968" s="16"/>
      <c r="AE968" s="16"/>
      <c r="AF968" s="16"/>
      <c r="AG968" s="16"/>
      <c r="AH968" s="16"/>
      <c r="AI968" s="2"/>
      <c r="AJ968" s="2"/>
      <c r="AK968" s="2"/>
      <c r="AL968" s="2"/>
      <c r="AM968" s="2"/>
      <c r="AN968" s="2"/>
    </row>
    <row r="969" spans="1:40" x14ac:dyDescent="0.25">
      <c r="A969" s="16"/>
      <c r="B969" s="27"/>
      <c r="C969" s="9"/>
      <c r="D969" s="6"/>
      <c r="E969" s="1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  <c r="AD969" s="16"/>
      <c r="AE969" s="16"/>
      <c r="AF969" s="16"/>
      <c r="AG969" s="16"/>
      <c r="AH969" s="16"/>
      <c r="AI969" s="2"/>
      <c r="AJ969" s="2"/>
      <c r="AK969" s="2"/>
      <c r="AL969" s="2"/>
      <c r="AM969" s="2"/>
      <c r="AN969" s="2"/>
    </row>
    <row r="970" spans="1:40" x14ac:dyDescent="0.25">
      <c r="A970" s="16"/>
      <c r="B970" s="27"/>
      <c r="C970" s="9"/>
      <c r="D970" s="6"/>
      <c r="E970" s="1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  <c r="AD970" s="16"/>
      <c r="AE970" s="16"/>
      <c r="AF970" s="16"/>
      <c r="AG970" s="16"/>
      <c r="AH970" s="16"/>
      <c r="AI970" s="2"/>
      <c r="AJ970" s="2"/>
      <c r="AK970" s="2"/>
      <c r="AL970" s="2"/>
      <c r="AM970" s="2"/>
      <c r="AN970" s="2"/>
    </row>
    <row r="971" spans="1:40" x14ac:dyDescent="0.25">
      <c r="A971" s="16"/>
      <c r="B971" s="27"/>
      <c r="C971" s="9"/>
      <c r="D971" s="6"/>
      <c r="E971" s="1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  <c r="AD971" s="16"/>
      <c r="AE971" s="16"/>
      <c r="AF971" s="16"/>
      <c r="AG971" s="16"/>
      <c r="AH971" s="16"/>
      <c r="AI971" s="2"/>
      <c r="AJ971" s="2"/>
      <c r="AK971" s="2"/>
      <c r="AL971" s="2"/>
      <c r="AM971" s="2"/>
      <c r="AN971" s="2"/>
    </row>
    <row r="972" spans="1:40" x14ac:dyDescent="0.25">
      <c r="A972" s="16"/>
      <c r="B972" s="27"/>
      <c r="C972" s="9"/>
      <c r="D972" s="6"/>
      <c r="E972" s="1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  <c r="AD972" s="16"/>
      <c r="AE972" s="16"/>
      <c r="AF972" s="16"/>
      <c r="AG972" s="16"/>
      <c r="AH972" s="16"/>
      <c r="AI972" s="2"/>
      <c r="AJ972" s="2"/>
      <c r="AK972" s="2"/>
      <c r="AL972" s="2"/>
      <c r="AM972" s="2"/>
      <c r="AN972" s="2"/>
    </row>
    <row r="973" spans="1:40" x14ac:dyDescent="0.25">
      <c r="A973" s="16"/>
      <c r="B973" s="27"/>
      <c r="C973" s="9"/>
      <c r="D973" s="6"/>
      <c r="E973" s="1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  <c r="AD973" s="16"/>
      <c r="AE973" s="16"/>
      <c r="AF973" s="16"/>
      <c r="AG973" s="16"/>
      <c r="AH973" s="16"/>
      <c r="AI973" s="2"/>
      <c r="AJ973" s="2"/>
      <c r="AK973" s="2"/>
      <c r="AL973" s="2"/>
      <c r="AM973" s="2"/>
      <c r="AN973" s="2"/>
    </row>
    <row r="974" spans="1:40" x14ac:dyDescent="0.25">
      <c r="A974" s="16"/>
      <c r="B974" s="27"/>
      <c r="C974" s="9"/>
      <c r="D974" s="6"/>
      <c r="E974" s="1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6"/>
      <c r="AD974" s="16"/>
      <c r="AE974" s="16"/>
      <c r="AF974" s="16"/>
      <c r="AG974" s="16"/>
      <c r="AH974" s="16"/>
      <c r="AI974" s="16"/>
      <c r="AJ974" s="16"/>
      <c r="AK974" s="16"/>
      <c r="AL974" s="16"/>
      <c r="AM974" s="16"/>
      <c r="AN974" s="16"/>
    </row>
    <row r="975" spans="1:40" x14ac:dyDescent="0.25">
      <c r="A975" s="16"/>
      <c r="B975" s="27"/>
      <c r="C975" s="9"/>
      <c r="D975" s="6"/>
      <c r="E975" s="1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  <c r="AD975" s="16"/>
      <c r="AE975" s="16"/>
      <c r="AF975" s="16"/>
      <c r="AG975" s="16"/>
      <c r="AH975" s="16"/>
      <c r="AI975" s="16"/>
      <c r="AJ975" s="16"/>
      <c r="AK975" s="16"/>
      <c r="AL975" s="16"/>
      <c r="AM975" s="16"/>
      <c r="AN975" s="16"/>
    </row>
    <row r="976" spans="1:40" x14ac:dyDescent="0.25">
      <c r="A976" s="16"/>
      <c r="B976" s="27"/>
      <c r="C976" s="9"/>
      <c r="D976" s="6"/>
      <c r="E976" s="1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  <c r="AD976" s="16"/>
      <c r="AE976" s="16"/>
      <c r="AF976" s="16"/>
      <c r="AG976" s="16"/>
      <c r="AH976" s="16"/>
      <c r="AI976" s="16"/>
      <c r="AJ976" s="16"/>
      <c r="AK976" s="16"/>
      <c r="AL976" s="16"/>
      <c r="AM976" s="16"/>
      <c r="AN976" s="16"/>
    </row>
    <row r="977" spans="1:40" x14ac:dyDescent="0.25">
      <c r="A977" s="16"/>
      <c r="B977" s="27"/>
      <c r="C977" s="9"/>
      <c r="D977" s="6"/>
      <c r="E977" s="1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  <c r="AD977" s="16"/>
      <c r="AE977" s="16"/>
      <c r="AF977" s="16"/>
      <c r="AG977" s="16"/>
      <c r="AH977" s="16"/>
      <c r="AI977" s="16"/>
      <c r="AJ977" s="16"/>
      <c r="AK977" s="16"/>
      <c r="AL977" s="16"/>
      <c r="AM977" s="16"/>
      <c r="AN977" s="16"/>
    </row>
    <row r="978" spans="1:40" x14ac:dyDescent="0.25">
      <c r="A978" s="16"/>
      <c r="B978" s="27"/>
      <c r="C978" s="9"/>
      <c r="D978" s="6"/>
      <c r="E978" s="1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6"/>
      <c r="AD978" s="16"/>
      <c r="AE978" s="16"/>
      <c r="AF978" s="16"/>
      <c r="AG978" s="16"/>
      <c r="AH978" s="16"/>
      <c r="AI978" s="16"/>
      <c r="AJ978" s="16"/>
      <c r="AK978" s="16"/>
      <c r="AL978" s="16"/>
      <c r="AM978" s="16"/>
      <c r="AN978" s="16"/>
    </row>
    <row r="979" spans="1:40" x14ac:dyDescent="0.25">
      <c r="A979" s="16"/>
      <c r="B979" s="27"/>
      <c r="C979" s="9"/>
      <c r="D979" s="6"/>
      <c r="E979" s="1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6"/>
      <c r="AD979" s="16"/>
      <c r="AE979" s="16"/>
      <c r="AF979" s="16"/>
      <c r="AG979" s="16"/>
      <c r="AH979" s="16"/>
      <c r="AI979" s="16"/>
      <c r="AJ979" s="16"/>
      <c r="AK979" s="16"/>
      <c r="AL979" s="16"/>
      <c r="AM979" s="16"/>
      <c r="AN979" s="16"/>
    </row>
    <row r="980" spans="1:40" x14ac:dyDescent="0.25">
      <c r="A980" s="16"/>
      <c r="B980" s="27"/>
      <c r="C980" s="9"/>
      <c r="D980" s="6"/>
      <c r="E980" s="1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  <c r="AD980" s="16"/>
      <c r="AE980" s="16"/>
      <c r="AF980" s="16"/>
      <c r="AG980" s="16"/>
      <c r="AH980" s="16"/>
      <c r="AI980" s="16"/>
      <c r="AJ980" s="16"/>
      <c r="AK980" s="16"/>
      <c r="AL980" s="16"/>
      <c r="AM980" s="16"/>
      <c r="AN980" s="16"/>
    </row>
    <row r="981" spans="1:40" x14ac:dyDescent="0.25">
      <c r="A981" s="16"/>
      <c r="B981" s="27"/>
      <c r="C981" s="9"/>
      <c r="D981" s="6"/>
      <c r="E981" s="1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6"/>
      <c r="AD981" s="16"/>
      <c r="AE981" s="16"/>
      <c r="AF981" s="16"/>
      <c r="AG981" s="16"/>
      <c r="AH981" s="16"/>
      <c r="AI981" s="16"/>
      <c r="AJ981" s="16"/>
      <c r="AK981" s="16"/>
      <c r="AL981" s="16"/>
      <c r="AM981" s="16"/>
      <c r="AN981" s="16"/>
    </row>
    <row r="982" spans="1:40" x14ac:dyDescent="0.25">
      <c r="A982" s="16"/>
      <c r="B982" s="27"/>
      <c r="C982" s="9"/>
      <c r="D982" s="6"/>
      <c r="E982" s="1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F982" s="16"/>
      <c r="AG982" s="16"/>
      <c r="AH982" s="16"/>
      <c r="AI982" s="16"/>
      <c r="AJ982" s="16"/>
      <c r="AK982" s="16"/>
      <c r="AL982" s="16"/>
      <c r="AM982" s="16"/>
      <c r="AN982" s="16"/>
    </row>
    <row r="983" spans="1:40" x14ac:dyDescent="0.25">
      <c r="A983" s="16"/>
      <c r="B983" s="27"/>
      <c r="C983" s="9"/>
      <c r="D983" s="6"/>
      <c r="E983" s="1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  <c r="AD983" s="16"/>
      <c r="AE983" s="16"/>
      <c r="AF983" s="16"/>
      <c r="AG983" s="16"/>
      <c r="AH983" s="16"/>
      <c r="AI983" s="16"/>
      <c r="AJ983" s="16"/>
      <c r="AK983" s="16"/>
      <c r="AL983" s="16"/>
      <c r="AM983" s="16"/>
      <c r="AN983" s="16"/>
    </row>
    <row r="984" spans="1:40" x14ac:dyDescent="0.25">
      <c r="A984" s="16"/>
      <c r="B984" s="27"/>
      <c r="C984" s="9"/>
      <c r="D984" s="6"/>
      <c r="E984" s="1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6"/>
      <c r="AD984" s="16"/>
      <c r="AE984" s="16"/>
      <c r="AF984" s="16"/>
      <c r="AG984" s="16"/>
      <c r="AH984" s="16"/>
      <c r="AI984" s="16"/>
      <c r="AJ984" s="16"/>
      <c r="AK984" s="16"/>
      <c r="AL984" s="16"/>
      <c r="AM984" s="16"/>
      <c r="AN984" s="16"/>
    </row>
    <row r="985" spans="1:40" x14ac:dyDescent="0.25">
      <c r="A985" s="16"/>
      <c r="B985" s="27"/>
      <c r="C985" s="9"/>
      <c r="D985" s="6"/>
      <c r="E985" s="1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  <c r="AD985" s="16"/>
      <c r="AE985" s="16"/>
      <c r="AF985" s="16"/>
      <c r="AG985" s="16"/>
      <c r="AH985" s="16"/>
      <c r="AI985" s="16"/>
      <c r="AJ985" s="16"/>
      <c r="AK985" s="16"/>
      <c r="AL985" s="16"/>
      <c r="AM985" s="16"/>
      <c r="AN985" s="16"/>
    </row>
    <row r="986" spans="1:40" x14ac:dyDescent="0.25">
      <c r="A986" s="16"/>
      <c r="B986" s="27"/>
      <c r="C986" s="9"/>
      <c r="D986" s="6"/>
      <c r="E986" s="1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  <c r="AD986" s="16"/>
      <c r="AE986" s="16"/>
      <c r="AF986" s="16"/>
      <c r="AG986" s="16"/>
      <c r="AH986" s="16"/>
      <c r="AI986" s="16"/>
      <c r="AJ986" s="16"/>
      <c r="AK986" s="16"/>
      <c r="AL986" s="16"/>
      <c r="AM986" s="16"/>
      <c r="AN986" s="16"/>
    </row>
    <row r="987" spans="1:40" x14ac:dyDescent="0.25">
      <c r="A987" s="16"/>
      <c r="B987" s="27"/>
      <c r="C987" s="9"/>
      <c r="D987" s="6"/>
      <c r="E987" s="1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/>
      <c r="AD987" s="16"/>
      <c r="AE987" s="16"/>
      <c r="AF987" s="16"/>
      <c r="AG987" s="16"/>
      <c r="AH987" s="16"/>
      <c r="AI987" s="16"/>
      <c r="AJ987" s="16"/>
      <c r="AK987" s="16"/>
      <c r="AL987" s="16"/>
      <c r="AM987" s="16"/>
      <c r="AN987" s="16"/>
    </row>
    <row r="988" spans="1:40" x14ac:dyDescent="0.25">
      <c r="A988" s="16"/>
      <c r="B988" s="27"/>
      <c r="C988" s="9"/>
      <c r="D988" s="6"/>
      <c r="E988" s="1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6"/>
      <c r="AD988" s="16"/>
      <c r="AE988" s="16"/>
      <c r="AF988" s="16"/>
      <c r="AG988" s="16"/>
      <c r="AH988" s="16"/>
      <c r="AI988" s="16"/>
      <c r="AJ988" s="16"/>
      <c r="AK988" s="16"/>
      <c r="AL988" s="16"/>
      <c r="AM988" s="16"/>
      <c r="AN988" s="16"/>
    </row>
    <row r="989" spans="1:40" x14ac:dyDescent="0.25">
      <c r="A989" s="16"/>
      <c r="B989" s="27"/>
      <c r="C989" s="9"/>
      <c r="D989" s="6"/>
      <c r="E989" s="1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6"/>
      <c r="AD989" s="16"/>
      <c r="AE989" s="16"/>
      <c r="AF989" s="16"/>
      <c r="AG989" s="16"/>
      <c r="AH989" s="16"/>
      <c r="AI989" s="16"/>
      <c r="AJ989" s="16"/>
      <c r="AK989" s="16"/>
      <c r="AL989" s="16"/>
      <c r="AM989" s="16"/>
      <c r="AN989" s="16"/>
    </row>
    <row r="990" spans="1:40" x14ac:dyDescent="0.25">
      <c r="A990" s="16"/>
      <c r="B990" s="27"/>
      <c r="C990" s="9"/>
      <c r="D990" s="6"/>
      <c r="E990" s="1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  <c r="AC990" s="16"/>
      <c r="AD990" s="16"/>
      <c r="AE990" s="16"/>
      <c r="AF990" s="16"/>
      <c r="AG990" s="16"/>
      <c r="AH990" s="16"/>
      <c r="AI990" s="16"/>
      <c r="AJ990" s="16"/>
      <c r="AK990" s="16"/>
      <c r="AL990" s="16"/>
      <c r="AM990" s="16"/>
      <c r="AN990" s="16"/>
    </row>
    <row r="991" spans="1:40" x14ac:dyDescent="0.25">
      <c r="A991" s="16"/>
      <c r="B991" s="27"/>
      <c r="C991" s="9"/>
      <c r="D991" s="6"/>
      <c r="E991" s="1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6"/>
      <c r="AD991" s="16"/>
      <c r="AE991" s="16"/>
      <c r="AF991" s="16"/>
      <c r="AG991" s="16"/>
      <c r="AH991" s="16"/>
      <c r="AI991" s="16"/>
      <c r="AJ991" s="16"/>
      <c r="AK991" s="16"/>
      <c r="AL991" s="16"/>
      <c r="AM991" s="16"/>
      <c r="AN991" s="16"/>
    </row>
    <row r="992" spans="1:40" x14ac:dyDescent="0.25">
      <c r="A992" s="16"/>
      <c r="B992" s="27"/>
      <c r="C992" s="9"/>
      <c r="D992" s="6"/>
      <c r="E992" s="1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/>
      <c r="AD992" s="16"/>
      <c r="AE992" s="16"/>
      <c r="AF992" s="16"/>
      <c r="AG992" s="16"/>
      <c r="AH992" s="16"/>
      <c r="AI992" s="16"/>
      <c r="AJ992" s="16"/>
      <c r="AK992" s="16"/>
      <c r="AL992" s="16"/>
      <c r="AM992" s="16"/>
      <c r="AN992" s="16"/>
    </row>
    <row r="993" spans="1:40" x14ac:dyDescent="0.25">
      <c r="A993" s="16"/>
      <c r="B993" s="27"/>
      <c r="C993" s="9"/>
      <c r="D993" s="6"/>
      <c r="E993" s="1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6"/>
      <c r="AD993" s="16"/>
      <c r="AE993" s="16"/>
      <c r="AF993" s="16"/>
      <c r="AG993" s="16"/>
      <c r="AH993" s="16"/>
      <c r="AI993" s="16"/>
      <c r="AJ993" s="16"/>
      <c r="AK993" s="16"/>
      <c r="AL993" s="16"/>
      <c r="AM993" s="16"/>
      <c r="AN993" s="16"/>
    </row>
    <row r="994" spans="1:40" x14ac:dyDescent="0.25">
      <c r="A994" s="16"/>
      <c r="B994" s="27"/>
      <c r="C994" s="9"/>
      <c r="D994" s="6"/>
      <c r="E994" s="1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  <c r="AC994" s="16"/>
      <c r="AD994" s="16"/>
      <c r="AE994" s="16"/>
      <c r="AF994" s="16"/>
      <c r="AG994" s="16"/>
      <c r="AH994" s="16"/>
      <c r="AI994" s="16"/>
      <c r="AJ994" s="16"/>
      <c r="AK994" s="16"/>
      <c r="AL994" s="16"/>
      <c r="AM994" s="16"/>
      <c r="AN994" s="16"/>
    </row>
    <row r="995" spans="1:40" x14ac:dyDescent="0.25">
      <c r="A995" s="16"/>
      <c r="B995" s="27"/>
      <c r="C995" s="9"/>
      <c r="D995" s="6"/>
      <c r="E995" s="1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  <c r="AC995" s="16"/>
      <c r="AD995" s="16"/>
      <c r="AE995" s="16"/>
      <c r="AF995" s="16"/>
      <c r="AG995" s="16"/>
      <c r="AH995" s="16"/>
      <c r="AI995" s="16"/>
      <c r="AJ995" s="16"/>
      <c r="AK995" s="16"/>
      <c r="AL995" s="16"/>
      <c r="AM995" s="16"/>
      <c r="AN995" s="16"/>
    </row>
    <row r="996" spans="1:40" x14ac:dyDescent="0.25">
      <c r="A996" s="16"/>
      <c r="B996" s="27"/>
      <c r="C996" s="9"/>
      <c r="D996" s="6"/>
      <c r="E996" s="1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  <c r="AC996" s="16"/>
      <c r="AD996" s="16"/>
      <c r="AE996" s="16"/>
      <c r="AF996" s="16"/>
      <c r="AG996" s="16"/>
      <c r="AH996" s="16"/>
      <c r="AI996" s="16"/>
      <c r="AJ996" s="16"/>
      <c r="AK996" s="16"/>
      <c r="AL996" s="16"/>
      <c r="AM996" s="16"/>
      <c r="AN996" s="16"/>
    </row>
    <row r="997" spans="1:40" x14ac:dyDescent="0.25">
      <c r="A997" s="16"/>
      <c r="B997" s="27"/>
      <c r="C997" s="9"/>
      <c r="D997" s="6"/>
      <c r="E997" s="1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  <c r="AC997" s="16"/>
      <c r="AD997" s="16"/>
      <c r="AE997" s="16"/>
      <c r="AF997" s="16"/>
      <c r="AG997" s="16"/>
      <c r="AH997" s="16"/>
      <c r="AI997" s="16"/>
      <c r="AJ997" s="16"/>
      <c r="AK997" s="16"/>
      <c r="AL997" s="16"/>
      <c r="AM997" s="16"/>
      <c r="AN997" s="16"/>
    </row>
    <row r="998" spans="1:40" x14ac:dyDescent="0.25">
      <c r="A998" s="16"/>
      <c r="B998" s="27"/>
      <c r="C998" s="9"/>
      <c r="D998" s="6"/>
      <c r="E998" s="1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  <c r="AC998" s="16"/>
      <c r="AD998" s="16"/>
      <c r="AE998" s="16"/>
      <c r="AF998" s="16"/>
      <c r="AG998" s="16"/>
      <c r="AH998" s="16"/>
      <c r="AI998" s="16"/>
      <c r="AJ998" s="16"/>
      <c r="AK998" s="16"/>
      <c r="AL998" s="16"/>
      <c r="AM998" s="16"/>
      <c r="AN998" s="16"/>
    </row>
    <row r="999" spans="1:40" x14ac:dyDescent="0.25">
      <c r="A999" s="16"/>
      <c r="B999" s="27"/>
      <c r="C999" s="9"/>
      <c r="D999" s="6"/>
      <c r="E999" s="1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  <c r="AB999" s="16"/>
      <c r="AC999" s="16"/>
      <c r="AD999" s="16"/>
      <c r="AE999" s="16"/>
      <c r="AF999" s="16"/>
      <c r="AG999" s="16"/>
      <c r="AH999" s="16"/>
      <c r="AI999" s="16"/>
      <c r="AJ999" s="16"/>
      <c r="AK999" s="16"/>
      <c r="AL999" s="16"/>
      <c r="AM999" s="16"/>
      <c r="AN999" s="16"/>
    </row>
    <row r="1000" spans="1:40" x14ac:dyDescent="0.25">
      <c r="A1000" s="16"/>
      <c r="B1000" s="27"/>
      <c r="C1000" s="9"/>
      <c r="D1000" s="6"/>
      <c r="E1000" s="1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  <c r="AB1000" s="16"/>
      <c r="AC1000" s="16"/>
      <c r="AD1000" s="16"/>
      <c r="AE1000" s="16"/>
      <c r="AF1000" s="16"/>
      <c r="AG1000" s="16"/>
      <c r="AH1000" s="16"/>
      <c r="AI1000" s="16"/>
      <c r="AJ1000" s="16"/>
      <c r="AK1000" s="16"/>
      <c r="AL1000" s="16"/>
      <c r="AM1000" s="16"/>
      <c r="AN1000" s="16"/>
    </row>
    <row r="1001" spans="1:40" x14ac:dyDescent="0.25">
      <c r="A1001" s="16"/>
      <c r="B1001" s="27"/>
      <c r="C1001" s="9"/>
      <c r="D1001" s="6"/>
      <c r="E1001" s="1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  <c r="Z1001" s="16"/>
      <c r="AA1001" s="16"/>
      <c r="AB1001" s="16"/>
      <c r="AC1001" s="16"/>
      <c r="AD1001" s="16"/>
      <c r="AE1001" s="16"/>
      <c r="AF1001" s="16"/>
      <c r="AG1001" s="16"/>
      <c r="AH1001" s="16"/>
      <c r="AI1001" s="16"/>
      <c r="AJ1001" s="16"/>
      <c r="AK1001" s="16"/>
      <c r="AL1001" s="16"/>
      <c r="AM1001" s="16"/>
      <c r="AN1001" s="16"/>
    </row>
    <row r="1002" spans="1:40" x14ac:dyDescent="0.25">
      <c r="A1002" s="16"/>
      <c r="B1002" s="27"/>
      <c r="C1002" s="9"/>
      <c r="D1002" s="6"/>
      <c r="E1002" s="1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  <c r="Y1002" s="16"/>
      <c r="Z1002" s="16"/>
      <c r="AA1002" s="16"/>
      <c r="AB1002" s="16"/>
      <c r="AC1002" s="16"/>
      <c r="AD1002" s="16"/>
      <c r="AE1002" s="16"/>
      <c r="AF1002" s="16"/>
      <c r="AG1002" s="16"/>
      <c r="AH1002" s="16"/>
      <c r="AI1002" s="16"/>
      <c r="AJ1002" s="16"/>
      <c r="AK1002" s="16"/>
      <c r="AL1002" s="16"/>
      <c r="AM1002" s="16"/>
      <c r="AN1002" s="16"/>
    </row>
    <row r="1003" spans="1:40" x14ac:dyDescent="0.25">
      <c r="A1003" s="16"/>
      <c r="B1003" s="27"/>
      <c r="C1003" s="9"/>
      <c r="D1003" s="6"/>
      <c r="E1003" s="1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  <c r="V1003" s="16"/>
      <c r="W1003" s="16"/>
      <c r="X1003" s="16"/>
      <c r="Y1003" s="16"/>
      <c r="Z1003" s="16"/>
      <c r="AA1003" s="16"/>
      <c r="AB1003" s="16"/>
      <c r="AC1003" s="16"/>
      <c r="AD1003" s="16"/>
      <c r="AE1003" s="16"/>
      <c r="AF1003" s="16"/>
      <c r="AG1003" s="16"/>
      <c r="AH1003" s="16"/>
      <c r="AI1003" s="16"/>
      <c r="AJ1003" s="16"/>
      <c r="AK1003" s="16"/>
      <c r="AL1003" s="16"/>
      <c r="AM1003" s="16"/>
      <c r="AN1003" s="16"/>
    </row>
    <row r="1004" spans="1:40" x14ac:dyDescent="0.25">
      <c r="A1004" s="16"/>
      <c r="B1004" s="27"/>
      <c r="C1004" s="9"/>
      <c r="D1004" s="6"/>
      <c r="E1004" s="1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  <c r="V1004" s="16"/>
      <c r="W1004" s="16"/>
      <c r="X1004" s="16"/>
      <c r="Y1004" s="16"/>
      <c r="Z1004" s="16"/>
      <c r="AA1004" s="16"/>
      <c r="AB1004" s="16"/>
      <c r="AC1004" s="16"/>
      <c r="AD1004" s="16"/>
      <c r="AE1004" s="16"/>
      <c r="AF1004" s="16"/>
      <c r="AG1004" s="16"/>
      <c r="AH1004" s="16"/>
      <c r="AI1004" s="16"/>
      <c r="AJ1004" s="16"/>
      <c r="AK1004" s="16"/>
      <c r="AL1004" s="16"/>
      <c r="AM1004" s="16"/>
      <c r="AN1004" s="16"/>
    </row>
    <row r="1005" spans="1:40" x14ac:dyDescent="0.25">
      <c r="A1005" s="16"/>
      <c r="B1005" s="27"/>
      <c r="C1005" s="9"/>
      <c r="D1005" s="6"/>
      <c r="E1005" s="1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  <c r="V1005" s="16"/>
      <c r="W1005" s="16"/>
      <c r="X1005" s="16"/>
      <c r="Y1005" s="16"/>
      <c r="Z1005" s="16"/>
      <c r="AA1005" s="16"/>
      <c r="AB1005" s="16"/>
      <c r="AC1005" s="16"/>
      <c r="AD1005" s="16"/>
      <c r="AE1005" s="16"/>
      <c r="AF1005" s="16"/>
      <c r="AG1005" s="16"/>
      <c r="AH1005" s="16"/>
      <c r="AI1005" s="16"/>
      <c r="AJ1005" s="16"/>
      <c r="AK1005" s="16"/>
      <c r="AL1005" s="16"/>
      <c r="AM1005" s="16"/>
      <c r="AN1005" s="16"/>
    </row>
    <row r="1006" spans="1:40" x14ac:dyDescent="0.25">
      <c r="A1006" s="16"/>
      <c r="B1006" s="27"/>
      <c r="C1006" s="9"/>
      <c r="D1006" s="6"/>
      <c r="E1006" s="1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  <c r="V1006" s="16"/>
      <c r="W1006" s="16"/>
      <c r="X1006" s="16"/>
      <c r="Y1006" s="16"/>
      <c r="Z1006" s="16"/>
      <c r="AA1006" s="16"/>
      <c r="AB1006" s="16"/>
      <c r="AC1006" s="16"/>
      <c r="AD1006" s="16"/>
      <c r="AE1006" s="16"/>
      <c r="AF1006" s="16"/>
      <c r="AG1006" s="16"/>
      <c r="AH1006" s="16"/>
      <c r="AI1006" s="16"/>
      <c r="AJ1006" s="16"/>
      <c r="AK1006" s="16"/>
      <c r="AL1006" s="16"/>
      <c r="AM1006" s="16"/>
      <c r="AN1006" s="16"/>
    </row>
    <row r="1007" spans="1:40" x14ac:dyDescent="0.25">
      <c r="A1007" s="16"/>
      <c r="B1007" s="27"/>
      <c r="C1007" s="9"/>
      <c r="D1007" s="6"/>
      <c r="E1007" s="1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  <c r="V1007" s="16"/>
      <c r="W1007" s="16"/>
      <c r="X1007" s="16"/>
      <c r="Y1007" s="16"/>
      <c r="Z1007" s="16"/>
      <c r="AA1007" s="16"/>
      <c r="AB1007" s="16"/>
      <c r="AC1007" s="16"/>
      <c r="AD1007" s="16"/>
      <c r="AE1007" s="16"/>
      <c r="AF1007" s="16"/>
      <c r="AG1007" s="16"/>
      <c r="AH1007" s="16"/>
      <c r="AI1007" s="16"/>
      <c r="AJ1007" s="16"/>
      <c r="AK1007" s="16"/>
      <c r="AL1007" s="16"/>
      <c r="AM1007" s="16"/>
      <c r="AN1007" s="16"/>
    </row>
    <row r="1008" spans="1:40" x14ac:dyDescent="0.25">
      <c r="A1008" s="16"/>
      <c r="B1008" s="27"/>
      <c r="C1008" s="9"/>
      <c r="D1008" s="6"/>
      <c r="E1008" s="1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  <c r="V1008" s="16"/>
      <c r="W1008" s="16"/>
      <c r="X1008" s="16"/>
      <c r="Y1008" s="16"/>
      <c r="Z1008" s="16"/>
      <c r="AA1008" s="16"/>
      <c r="AB1008" s="16"/>
      <c r="AC1008" s="16"/>
      <c r="AD1008" s="16"/>
      <c r="AE1008" s="16"/>
      <c r="AF1008" s="16"/>
      <c r="AG1008" s="16"/>
      <c r="AH1008" s="16"/>
      <c r="AI1008" s="16"/>
      <c r="AJ1008" s="16"/>
      <c r="AK1008" s="16"/>
      <c r="AL1008" s="16"/>
      <c r="AM1008" s="16"/>
      <c r="AN1008" s="16"/>
    </row>
    <row r="1009" spans="1:40" x14ac:dyDescent="0.25">
      <c r="A1009" s="16"/>
      <c r="B1009" s="27"/>
      <c r="C1009" s="9"/>
      <c r="D1009" s="6"/>
      <c r="E1009" s="1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  <c r="V1009" s="16"/>
      <c r="W1009" s="16"/>
      <c r="X1009" s="16"/>
      <c r="Y1009" s="16"/>
      <c r="Z1009" s="16"/>
      <c r="AA1009" s="16"/>
      <c r="AB1009" s="16"/>
      <c r="AC1009" s="16"/>
      <c r="AD1009" s="16"/>
      <c r="AE1009" s="16"/>
      <c r="AF1009" s="16"/>
      <c r="AG1009" s="16"/>
      <c r="AH1009" s="16"/>
      <c r="AI1009" s="16"/>
      <c r="AJ1009" s="16"/>
      <c r="AK1009" s="16"/>
      <c r="AL1009" s="16"/>
      <c r="AM1009" s="16"/>
      <c r="AN1009" s="16"/>
    </row>
    <row r="1010" spans="1:40" x14ac:dyDescent="0.25">
      <c r="A1010" s="16"/>
      <c r="B1010" s="27"/>
      <c r="C1010" s="9"/>
      <c r="D1010" s="6"/>
      <c r="E1010" s="1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  <c r="V1010" s="16"/>
      <c r="W1010" s="16"/>
      <c r="X1010" s="16"/>
      <c r="Y1010" s="16"/>
      <c r="Z1010" s="16"/>
      <c r="AA1010" s="16"/>
      <c r="AB1010" s="16"/>
      <c r="AC1010" s="16"/>
      <c r="AD1010" s="16"/>
      <c r="AE1010" s="16"/>
      <c r="AF1010" s="16"/>
      <c r="AG1010" s="16"/>
      <c r="AH1010" s="16"/>
      <c r="AI1010" s="16"/>
      <c r="AJ1010" s="16"/>
      <c r="AK1010" s="16"/>
      <c r="AL1010" s="16"/>
      <c r="AM1010" s="16"/>
      <c r="AN1010" s="16"/>
    </row>
    <row r="1011" spans="1:40" x14ac:dyDescent="0.25">
      <c r="A1011" s="16"/>
      <c r="B1011" s="27"/>
      <c r="C1011" s="9"/>
      <c r="D1011" s="6"/>
      <c r="E1011" s="1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  <c r="V1011" s="16"/>
      <c r="W1011" s="16"/>
      <c r="X1011" s="16"/>
      <c r="Y1011" s="16"/>
      <c r="Z1011" s="16"/>
      <c r="AA1011" s="16"/>
      <c r="AB1011" s="16"/>
      <c r="AC1011" s="16"/>
      <c r="AD1011" s="16"/>
      <c r="AE1011" s="16"/>
      <c r="AF1011" s="16"/>
      <c r="AG1011" s="16"/>
      <c r="AH1011" s="16"/>
      <c r="AI1011" s="16"/>
      <c r="AJ1011" s="16"/>
      <c r="AK1011" s="16"/>
      <c r="AL1011" s="16"/>
      <c r="AM1011" s="16"/>
      <c r="AN1011" s="16"/>
    </row>
    <row r="1012" spans="1:40" x14ac:dyDescent="0.25">
      <c r="A1012" s="16"/>
      <c r="B1012" s="27"/>
      <c r="C1012" s="9"/>
      <c r="D1012" s="6"/>
      <c r="E1012" s="1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  <c r="V1012" s="16"/>
      <c r="W1012" s="16"/>
      <c r="X1012" s="16"/>
      <c r="Y1012" s="16"/>
      <c r="Z1012" s="16"/>
      <c r="AA1012" s="16"/>
      <c r="AB1012" s="16"/>
      <c r="AC1012" s="16"/>
      <c r="AD1012" s="16"/>
      <c r="AE1012" s="16"/>
      <c r="AF1012" s="16"/>
      <c r="AG1012" s="16"/>
      <c r="AH1012" s="16"/>
      <c r="AI1012" s="16"/>
      <c r="AJ1012" s="16"/>
      <c r="AK1012" s="16"/>
      <c r="AL1012" s="16"/>
      <c r="AM1012" s="16"/>
      <c r="AN1012" s="16"/>
    </row>
    <row r="1013" spans="1:40" x14ac:dyDescent="0.25">
      <c r="A1013" s="16"/>
      <c r="B1013" s="27"/>
      <c r="C1013" s="9"/>
      <c r="D1013" s="6"/>
      <c r="E1013" s="1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  <c r="V1013" s="16"/>
      <c r="W1013" s="16"/>
      <c r="X1013" s="16"/>
      <c r="Y1013" s="16"/>
      <c r="Z1013" s="16"/>
      <c r="AA1013" s="16"/>
      <c r="AB1013" s="16"/>
      <c r="AC1013" s="16"/>
      <c r="AD1013" s="16"/>
      <c r="AE1013" s="16"/>
      <c r="AF1013" s="16"/>
      <c r="AG1013" s="16"/>
      <c r="AH1013" s="16"/>
      <c r="AI1013" s="16"/>
      <c r="AJ1013" s="16"/>
      <c r="AK1013" s="16"/>
      <c r="AL1013" s="16"/>
      <c r="AM1013" s="16"/>
      <c r="AN1013" s="16"/>
    </row>
    <row r="1014" spans="1:40" x14ac:dyDescent="0.25">
      <c r="A1014" s="16"/>
      <c r="B1014" s="27"/>
      <c r="C1014" s="9"/>
      <c r="D1014" s="6"/>
      <c r="E1014" s="1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  <c r="V1014" s="16"/>
      <c r="W1014" s="16"/>
      <c r="X1014" s="16"/>
      <c r="Y1014" s="16"/>
      <c r="Z1014" s="16"/>
      <c r="AA1014" s="16"/>
      <c r="AB1014" s="16"/>
      <c r="AC1014" s="16"/>
      <c r="AD1014" s="16"/>
      <c r="AE1014" s="16"/>
      <c r="AF1014" s="16"/>
      <c r="AG1014" s="16"/>
      <c r="AH1014" s="16"/>
      <c r="AI1014" s="16"/>
      <c r="AJ1014" s="16"/>
      <c r="AK1014" s="16"/>
      <c r="AL1014" s="16"/>
      <c r="AM1014" s="16"/>
      <c r="AN1014" s="16"/>
    </row>
    <row r="1015" spans="1:40" x14ac:dyDescent="0.25">
      <c r="A1015" s="16"/>
      <c r="B1015" s="27"/>
      <c r="C1015" s="9"/>
      <c r="D1015" s="6"/>
      <c r="E1015" s="1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  <c r="V1015" s="16"/>
      <c r="W1015" s="16"/>
      <c r="X1015" s="16"/>
      <c r="Y1015" s="16"/>
      <c r="Z1015" s="16"/>
      <c r="AA1015" s="16"/>
      <c r="AB1015" s="16"/>
      <c r="AC1015" s="16"/>
      <c r="AD1015" s="16"/>
      <c r="AE1015" s="16"/>
      <c r="AF1015" s="16"/>
      <c r="AG1015" s="16"/>
      <c r="AH1015" s="16"/>
      <c r="AI1015" s="16"/>
      <c r="AJ1015" s="16"/>
      <c r="AK1015" s="16"/>
      <c r="AL1015" s="16"/>
      <c r="AM1015" s="16"/>
      <c r="AN1015" s="16"/>
    </row>
    <row r="1016" spans="1:40" x14ac:dyDescent="0.25">
      <c r="A1016" s="16"/>
      <c r="B1016" s="27"/>
      <c r="C1016" s="9"/>
      <c r="D1016" s="6"/>
      <c r="E1016" s="1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  <c r="V1016" s="16"/>
      <c r="W1016" s="16"/>
      <c r="X1016" s="16"/>
      <c r="Y1016" s="16"/>
      <c r="Z1016" s="16"/>
      <c r="AA1016" s="16"/>
      <c r="AB1016" s="16"/>
      <c r="AC1016" s="16"/>
      <c r="AD1016" s="16"/>
      <c r="AE1016" s="16"/>
      <c r="AF1016" s="16"/>
      <c r="AG1016" s="16"/>
      <c r="AH1016" s="16"/>
      <c r="AI1016" s="16"/>
      <c r="AJ1016" s="16"/>
      <c r="AK1016" s="16"/>
      <c r="AL1016" s="16"/>
      <c r="AM1016" s="16"/>
      <c r="AN1016" s="16"/>
    </row>
    <row r="1017" spans="1:40" x14ac:dyDescent="0.25">
      <c r="A1017" s="16"/>
      <c r="B1017" s="27"/>
      <c r="C1017" s="9"/>
      <c r="D1017" s="6"/>
      <c r="E1017" s="1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  <c r="V1017" s="16"/>
      <c r="W1017" s="16"/>
      <c r="X1017" s="16"/>
      <c r="Y1017" s="16"/>
      <c r="Z1017" s="16"/>
      <c r="AA1017" s="16"/>
      <c r="AB1017" s="16"/>
      <c r="AC1017" s="16"/>
      <c r="AD1017" s="16"/>
      <c r="AE1017" s="16"/>
      <c r="AF1017" s="16"/>
      <c r="AG1017" s="16"/>
      <c r="AH1017" s="16"/>
      <c r="AI1017" s="16"/>
      <c r="AJ1017" s="16"/>
      <c r="AK1017" s="16"/>
      <c r="AL1017" s="16"/>
      <c r="AM1017" s="16"/>
      <c r="AN1017" s="16"/>
    </row>
    <row r="1018" spans="1:40" x14ac:dyDescent="0.25">
      <c r="A1018" s="16"/>
      <c r="B1018" s="27"/>
      <c r="C1018" s="9"/>
      <c r="D1018" s="6"/>
      <c r="E1018" s="1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  <c r="V1018" s="16"/>
      <c r="W1018" s="16"/>
      <c r="X1018" s="16"/>
      <c r="Y1018" s="16"/>
      <c r="Z1018" s="16"/>
      <c r="AA1018" s="16"/>
      <c r="AB1018" s="16"/>
      <c r="AC1018" s="16"/>
      <c r="AD1018" s="16"/>
      <c r="AE1018" s="16"/>
      <c r="AF1018" s="16"/>
      <c r="AG1018" s="16"/>
      <c r="AH1018" s="16"/>
      <c r="AI1018" s="16"/>
      <c r="AJ1018" s="16"/>
      <c r="AK1018" s="16"/>
      <c r="AL1018" s="16"/>
      <c r="AM1018" s="16"/>
      <c r="AN1018" s="16"/>
    </row>
    <row r="1019" spans="1:40" x14ac:dyDescent="0.25">
      <c r="A1019" s="16"/>
      <c r="B1019" s="27"/>
      <c r="C1019" s="9"/>
      <c r="D1019" s="6"/>
      <c r="E1019" s="1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  <c r="V1019" s="16"/>
      <c r="W1019" s="16"/>
      <c r="X1019" s="16"/>
      <c r="Y1019" s="16"/>
      <c r="Z1019" s="16"/>
      <c r="AA1019" s="16"/>
      <c r="AB1019" s="16"/>
      <c r="AC1019" s="16"/>
      <c r="AD1019" s="16"/>
      <c r="AE1019" s="16"/>
      <c r="AF1019" s="16"/>
      <c r="AG1019" s="16"/>
      <c r="AH1019" s="16"/>
      <c r="AI1019" s="16"/>
      <c r="AJ1019" s="16"/>
      <c r="AK1019" s="16"/>
      <c r="AL1019" s="16"/>
      <c r="AM1019" s="16"/>
      <c r="AN1019" s="16"/>
    </row>
    <row r="1020" spans="1:40" x14ac:dyDescent="0.25">
      <c r="A1020" s="16"/>
      <c r="B1020" s="27"/>
      <c r="C1020" s="9"/>
      <c r="D1020" s="6"/>
      <c r="E1020" s="1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  <c r="V1020" s="16"/>
      <c r="W1020" s="16"/>
      <c r="X1020" s="16"/>
      <c r="Y1020" s="16"/>
      <c r="Z1020" s="16"/>
      <c r="AA1020" s="16"/>
      <c r="AB1020" s="16"/>
      <c r="AC1020" s="16"/>
      <c r="AD1020" s="16"/>
      <c r="AE1020" s="16"/>
      <c r="AF1020" s="16"/>
      <c r="AG1020" s="16"/>
      <c r="AH1020" s="16"/>
      <c r="AI1020" s="16"/>
      <c r="AJ1020" s="16"/>
      <c r="AK1020" s="16"/>
      <c r="AL1020" s="16"/>
      <c r="AM1020" s="16"/>
      <c r="AN1020" s="16"/>
    </row>
    <row r="1021" spans="1:40" x14ac:dyDescent="0.25">
      <c r="A1021" s="16"/>
      <c r="B1021" s="27"/>
      <c r="C1021" s="9"/>
      <c r="D1021" s="6"/>
      <c r="E1021" s="1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  <c r="V1021" s="16"/>
      <c r="W1021" s="16"/>
      <c r="X1021" s="16"/>
      <c r="Y1021" s="16"/>
      <c r="Z1021" s="16"/>
      <c r="AA1021" s="16"/>
      <c r="AB1021" s="16"/>
      <c r="AC1021" s="16"/>
      <c r="AD1021" s="16"/>
      <c r="AE1021" s="16"/>
      <c r="AF1021" s="16"/>
      <c r="AG1021" s="16"/>
      <c r="AH1021" s="16"/>
      <c r="AI1021" s="16"/>
      <c r="AJ1021" s="16"/>
      <c r="AK1021" s="16"/>
      <c r="AL1021" s="16"/>
      <c r="AM1021" s="16"/>
      <c r="AN1021" s="16"/>
    </row>
    <row r="1022" spans="1:40" x14ac:dyDescent="0.25">
      <c r="A1022" s="16"/>
      <c r="B1022" s="27"/>
      <c r="C1022" s="9"/>
      <c r="D1022" s="6"/>
      <c r="E1022" s="1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  <c r="V1022" s="16"/>
      <c r="W1022" s="16"/>
      <c r="X1022" s="16"/>
      <c r="Y1022" s="16"/>
      <c r="Z1022" s="16"/>
      <c r="AA1022" s="16"/>
      <c r="AB1022" s="16"/>
      <c r="AC1022" s="16"/>
      <c r="AD1022" s="16"/>
      <c r="AE1022" s="16"/>
      <c r="AF1022" s="16"/>
      <c r="AG1022" s="16"/>
      <c r="AH1022" s="16"/>
      <c r="AI1022" s="16"/>
      <c r="AJ1022" s="16"/>
      <c r="AK1022" s="16"/>
      <c r="AL1022" s="16"/>
      <c r="AM1022" s="16"/>
      <c r="AN1022" s="16"/>
    </row>
    <row r="1023" spans="1:40" x14ac:dyDescent="0.25">
      <c r="A1023" s="16"/>
      <c r="B1023" s="27"/>
      <c r="C1023" s="9"/>
      <c r="D1023" s="6"/>
      <c r="E1023" s="1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  <c r="V1023" s="16"/>
      <c r="W1023" s="16"/>
      <c r="X1023" s="16"/>
      <c r="Y1023" s="16"/>
      <c r="Z1023" s="16"/>
      <c r="AA1023" s="16"/>
      <c r="AB1023" s="16"/>
      <c r="AC1023" s="16"/>
      <c r="AD1023" s="16"/>
      <c r="AE1023" s="16"/>
      <c r="AF1023" s="16"/>
      <c r="AG1023" s="16"/>
      <c r="AH1023" s="16"/>
      <c r="AI1023" s="16"/>
      <c r="AJ1023" s="16"/>
      <c r="AK1023" s="16"/>
      <c r="AL1023" s="16"/>
      <c r="AM1023" s="16"/>
      <c r="AN1023" s="16"/>
    </row>
    <row r="1024" spans="1:40" x14ac:dyDescent="0.25">
      <c r="A1024" s="16"/>
      <c r="B1024" s="27"/>
      <c r="C1024" s="9"/>
      <c r="D1024" s="6"/>
      <c r="E1024" s="1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  <c r="V1024" s="16"/>
      <c r="W1024" s="16"/>
      <c r="X1024" s="16"/>
      <c r="Y1024" s="16"/>
      <c r="Z1024" s="16"/>
      <c r="AA1024" s="16"/>
      <c r="AB1024" s="16"/>
      <c r="AC1024" s="16"/>
      <c r="AD1024" s="16"/>
      <c r="AE1024" s="16"/>
      <c r="AF1024" s="16"/>
      <c r="AG1024" s="16"/>
      <c r="AH1024" s="16"/>
      <c r="AI1024" s="16"/>
      <c r="AJ1024" s="16"/>
      <c r="AK1024" s="16"/>
      <c r="AL1024" s="16"/>
      <c r="AM1024" s="16"/>
      <c r="AN1024" s="16"/>
    </row>
    <row r="1025" spans="1:40" x14ac:dyDescent="0.25">
      <c r="A1025" s="16"/>
      <c r="B1025" s="27"/>
      <c r="C1025" s="9"/>
      <c r="D1025" s="6"/>
      <c r="E1025" s="1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  <c r="V1025" s="16"/>
      <c r="W1025" s="16"/>
      <c r="X1025" s="16"/>
      <c r="Y1025" s="16"/>
      <c r="Z1025" s="16"/>
      <c r="AA1025" s="16"/>
      <c r="AB1025" s="16"/>
      <c r="AC1025" s="16"/>
      <c r="AD1025" s="16"/>
      <c r="AE1025" s="16"/>
      <c r="AF1025" s="16"/>
      <c r="AG1025" s="16"/>
      <c r="AH1025" s="16"/>
      <c r="AI1025" s="16"/>
      <c r="AJ1025" s="16"/>
      <c r="AK1025" s="16"/>
      <c r="AL1025" s="16"/>
      <c r="AM1025" s="16"/>
      <c r="AN1025" s="16"/>
    </row>
    <row r="1026" spans="1:40" x14ac:dyDescent="0.25">
      <c r="A1026" s="16"/>
      <c r="B1026" s="27"/>
      <c r="C1026" s="9"/>
      <c r="D1026" s="6"/>
      <c r="E1026" s="1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  <c r="V1026" s="16"/>
      <c r="W1026" s="16"/>
      <c r="X1026" s="16"/>
      <c r="Y1026" s="16"/>
      <c r="Z1026" s="16"/>
      <c r="AA1026" s="16"/>
      <c r="AB1026" s="16"/>
      <c r="AC1026" s="16"/>
      <c r="AD1026" s="16"/>
      <c r="AE1026" s="16"/>
      <c r="AF1026" s="16"/>
      <c r="AG1026" s="16"/>
      <c r="AH1026" s="16"/>
      <c r="AI1026" s="16"/>
      <c r="AJ1026" s="16"/>
      <c r="AK1026" s="16"/>
      <c r="AL1026" s="16"/>
      <c r="AM1026" s="16"/>
      <c r="AN1026" s="16"/>
    </row>
    <row r="1027" spans="1:40" x14ac:dyDescent="0.25">
      <c r="A1027" s="16"/>
      <c r="B1027" s="27"/>
      <c r="C1027" s="9"/>
      <c r="D1027" s="6"/>
      <c r="E1027" s="1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  <c r="V1027" s="16"/>
      <c r="W1027" s="16"/>
      <c r="X1027" s="16"/>
      <c r="Y1027" s="16"/>
      <c r="Z1027" s="16"/>
      <c r="AA1027" s="16"/>
      <c r="AB1027" s="16"/>
      <c r="AC1027" s="16"/>
      <c r="AD1027" s="16"/>
      <c r="AE1027" s="16"/>
      <c r="AF1027" s="16"/>
      <c r="AG1027" s="16"/>
      <c r="AH1027" s="16"/>
      <c r="AI1027" s="16"/>
      <c r="AJ1027" s="16"/>
      <c r="AK1027" s="16"/>
      <c r="AL1027" s="16"/>
      <c r="AM1027" s="16"/>
      <c r="AN1027" s="16"/>
    </row>
    <row r="1028" spans="1:40" x14ac:dyDescent="0.25">
      <c r="A1028" s="16"/>
      <c r="B1028" s="27"/>
      <c r="C1028" s="9"/>
      <c r="D1028" s="6"/>
      <c r="E1028" s="1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  <c r="V1028" s="16"/>
      <c r="W1028" s="16"/>
      <c r="X1028" s="16"/>
      <c r="Y1028" s="16"/>
      <c r="Z1028" s="16"/>
      <c r="AA1028" s="16"/>
      <c r="AB1028" s="16"/>
      <c r="AC1028" s="16"/>
      <c r="AD1028" s="16"/>
      <c r="AE1028" s="16"/>
      <c r="AF1028" s="16"/>
      <c r="AG1028" s="16"/>
      <c r="AH1028" s="16"/>
      <c r="AI1028" s="16"/>
      <c r="AJ1028" s="16"/>
      <c r="AK1028" s="16"/>
      <c r="AL1028" s="16"/>
      <c r="AM1028" s="16"/>
      <c r="AN1028" s="16"/>
    </row>
    <row r="1029" spans="1:40" x14ac:dyDescent="0.25">
      <c r="A1029" s="16"/>
      <c r="B1029" s="27"/>
      <c r="C1029" s="9"/>
      <c r="D1029" s="6"/>
      <c r="E1029" s="1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  <c r="V1029" s="16"/>
      <c r="W1029" s="16"/>
      <c r="X1029" s="16"/>
      <c r="Y1029" s="16"/>
      <c r="Z1029" s="16"/>
      <c r="AA1029" s="16"/>
      <c r="AB1029" s="16"/>
      <c r="AC1029" s="16"/>
      <c r="AD1029" s="16"/>
      <c r="AE1029" s="16"/>
      <c r="AF1029" s="16"/>
      <c r="AG1029" s="16"/>
      <c r="AH1029" s="16"/>
      <c r="AI1029" s="16"/>
      <c r="AJ1029" s="16"/>
      <c r="AK1029" s="16"/>
      <c r="AL1029" s="16"/>
      <c r="AM1029" s="16"/>
      <c r="AN1029" s="16"/>
    </row>
    <row r="1030" spans="1:40" x14ac:dyDescent="0.25">
      <c r="A1030" s="16"/>
      <c r="B1030" s="27"/>
      <c r="C1030" s="9"/>
      <c r="D1030" s="6"/>
      <c r="E1030" s="1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  <c r="V1030" s="16"/>
      <c r="W1030" s="16"/>
      <c r="X1030" s="16"/>
      <c r="Y1030" s="16"/>
      <c r="Z1030" s="16"/>
      <c r="AA1030" s="16"/>
      <c r="AB1030" s="16"/>
      <c r="AC1030" s="16"/>
      <c r="AD1030" s="16"/>
      <c r="AE1030" s="16"/>
      <c r="AF1030" s="16"/>
      <c r="AG1030" s="16"/>
      <c r="AH1030" s="16"/>
      <c r="AI1030" s="16"/>
      <c r="AJ1030" s="16"/>
      <c r="AK1030" s="16"/>
      <c r="AL1030" s="16"/>
      <c r="AM1030" s="16"/>
      <c r="AN1030" s="16"/>
    </row>
    <row r="1031" spans="1:40" x14ac:dyDescent="0.25">
      <c r="A1031" s="16"/>
      <c r="B1031" s="27"/>
      <c r="C1031" s="9"/>
      <c r="D1031" s="6"/>
      <c r="E1031" s="1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  <c r="V1031" s="16"/>
      <c r="W1031" s="16"/>
      <c r="X1031" s="16"/>
      <c r="Y1031" s="16"/>
      <c r="Z1031" s="16"/>
      <c r="AA1031" s="16"/>
      <c r="AB1031" s="16"/>
      <c r="AC1031" s="16"/>
      <c r="AD1031" s="16"/>
      <c r="AE1031" s="16"/>
      <c r="AF1031" s="16"/>
      <c r="AG1031" s="16"/>
      <c r="AH1031" s="16"/>
      <c r="AI1031" s="16"/>
      <c r="AJ1031" s="16"/>
      <c r="AK1031" s="16"/>
      <c r="AL1031" s="16"/>
      <c r="AM1031" s="16"/>
      <c r="AN1031" s="16"/>
    </row>
    <row r="1032" spans="1:40" x14ac:dyDescent="0.25">
      <c r="A1032" s="16"/>
      <c r="B1032" s="27"/>
      <c r="C1032" s="9"/>
      <c r="D1032" s="6"/>
      <c r="E1032" s="1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  <c r="V1032" s="16"/>
      <c r="W1032" s="16"/>
      <c r="X1032" s="16"/>
      <c r="Y1032" s="16"/>
      <c r="Z1032" s="16"/>
      <c r="AA1032" s="16"/>
      <c r="AB1032" s="16"/>
      <c r="AC1032" s="16"/>
      <c r="AD1032" s="16"/>
      <c r="AE1032" s="16"/>
      <c r="AF1032" s="16"/>
      <c r="AG1032" s="16"/>
      <c r="AH1032" s="16"/>
      <c r="AI1032" s="16"/>
      <c r="AJ1032" s="16"/>
      <c r="AK1032" s="16"/>
      <c r="AL1032" s="16"/>
      <c r="AM1032" s="16"/>
      <c r="AN1032" s="16"/>
    </row>
    <row r="1033" spans="1:40" x14ac:dyDescent="0.25">
      <c r="A1033" s="16"/>
      <c r="B1033" s="27"/>
      <c r="C1033" s="9"/>
      <c r="D1033" s="6"/>
      <c r="E1033" s="1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  <c r="V1033" s="16"/>
      <c r="W1033" s="16"/>
      <c r="X1033" s="16"/>
      <c r="Y1033" s="16"/>
      <c r="Z1033" s="16"/>
      <c r="AA1033" s="16"/>
      <c r="AB1033" s="16"/>
      <c r="AC1033" s="16"/>
      <c r="AD1033" s="16"/>
      <c r="AE1033" s="16"/>
      <c r="AF1033" s="16"/>
      <c r="AG1033" s="16"/>
      <c r="AH1033" s="16"/>
      <c r="AI1033" s="16"/>
      <c r="AJ1033" s="16"/>
      <c r="AK1033" s="16"/>
      <c r="AL1033" s="16"/>
      <c r="AM1033" s="16"/>
      <c r="AN1033" s="16"/>
    </row>
    <row r="1034" spans="1:40" x14ac:dyDescent="0.25">
      <c r="A1034" s="16"/>
      <c r="B1034" s="27"/>
      <c r="C1034" s="9"/>
      <c r="D1034" s="6"/>
      <c r="E1034" s="1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  <c r="V1034" s="16"/>
      <c r="W1034" s="16"/>
      <c r="X1034" s="16"/>
      <c r="Y1034" s="16"/>
      <c r="Z1034" s="16"/>
      <c r="AA1034" s="16"/>
      <c r="AB1034" s="16"/>
      <c r="AC1034" s="16"/>
      <c r="AD1034" s="16"/>
      <c r="AE1034" s="16"/>
      <c r="AF1034" s="16"/>
      <c r="AG1034" s="16"/>
      <c r="AH1034" s="16"/>
      <c r="AI1034" s="16"/>
      <c r="AJ1034" s="16"/>
      <c r="AK1034" s="16"/>
      <c r="AL1034" s="16"/>
      <c r="AM1034" s="16"/>
      <c r="AN1034" s="16"/>
    </row>
    <row r="1035" spans="1:40" x14ac:dyDescent="0.25">
      <c r="A1035" s="16"/>
      <c r="B1035" s="27"/>
      <c r="C1035" s="9"/>
      <c r="D1035" s="6"/>
      <c r="E1035" s="1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  <c r="V1035" s="16"/>
      <c r="W1035" s="16"/>
      <c r="X1035" s="16"/>
      <c r="Y1035" s="16"/>
      <c r="Z1035" s="16"/>
      <c r="AA1035" s="16"/>
      <c r="AB1035" s="16"/>
      <c r="AC1035" s="16"/>
      <c r="AD1035" s="16"/>
      <c r="AE1035" s="16"/>
      <c r="AF1035" s="16"/>
      <c r="AG1035" s="16"/>
      <c r="AH1035" s="16"/>
      <c r="AI1035" s="16"/>
      <c r="AJ1035" s="16"/>
      <c r="AK1035" s="16"/>
      <c r="AL1035" s="16"/>
      <c r="AM1035" s="16"/>
      <c r="AN1035" s="16"/>
    </row>
    <row r="1036" spans="1:40" x14ac:dyDescent="0.25">
      <c r="A1036" s="16"/>
      <c r="B1036" s="27"/>
      <c r="C1036" s="9"/>
      <c r="D1036" s="6"/>
      <c r="E1036" s="1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  <c r="V1036" s="16"/>
      <c r="W1036" s="16"/>
      <c r="X1036" s="16"/>
      <c r="Y1036" s="16"/>
      <c r="Z1036" s="16"/>
      <c r="AA1036" s="16"/>
      <c r="AB1036" s="16"/>
      <c r="AC1036" s="16"/>
      <c r="AD1036" s="16"/>
      <c r="AE1036" s="16"/>
      <c r="AF1036" s="16"/>
      <c r="AG1036" s="16"/>
      <c r="AH1036" s="16"/>
      <c r="AI1036" s="16"/>
      <c r="AJ1036" s="16"/>
      <c r="AK1036" s="16"/>
      <c r="AL1036" s="16"/>
      <c r="AM1036" s="16"/>
      <c r="AN1036" s="16"/>
    </row>
    <row r="1037" spans="1:40" x14ac:dyDescent="0.25">
      <c r="A1037" s="16"/>
      <c r="B1037" s="27"/>
      <c r="C1037" s="9"/>
      <c r="D1037" s="6"/>
      <c r="E1037" s="1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  <c r="V1037" s="16"/>
      <c r="W1037" s="16"/>
      <c r="X1037" s="16"/>
      <c r="Y1037" s="16"/>
      <c r="Z1037" s="16"/>
      <c r="AA1037" s="16"/>
      <c r="AB1037" s="16"/>
      <c r="AC1037" s="16"/>
      <c r="AD1037" s="16"/>
      <c r="AE1037" s="16"/>
      <c r="AF1037" s="16"/>
      <c r="AG1037" s="16"/>
      <c r="AH1037" s="16"/>
      <c r="AI1037" s="16"/>
      <c r="AJ1037" s="16"/>
      <c r="AK1037" s="16"/>
      <c r="AL1037" s="16"/>
      <c r="AM1037" s="16"/>
      <c r="AN1037" s="16"/>
    </row>
    <row r="1038" spans="1:40" x14ac:dyDescent="0.25">
      <c r="A1038" s="16"/>
      <c r="B1038" s="27"/>
      <c r="C1038" s="9"/>
      <c r="D1038" s="6"/>
      <c r="E1038" s="1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  <c r="V1038" s="16"/>
      <c r="W1038" s="16"/>
      <c r="X1038" s="16"/>
      <c r="Y1038" s="16"/>
      <c r="Z1038" s="16"/>
      <c r="AA1038" s="16"/>
      <c r="AB1038" s="16"/>
      <c r="AC1038" s="16"/>
      <c r="AD1038" s="16"/>
      <c r="AE1038" s="16"/>
      <c r="AF1038" s="16"/>
      <c r="AG1038" s="16"/>
      <c r="AH1038" s="16"/>
      <c r="AI1038" s="16"/>
      <c r="AJ1038" s="16"/>
      <c r="AK1038" s="16"/>
      <c r="AL1038" s="16"/>
      <c r="AM1038" s="16"/>
      <c r="AN1038" s="16"/>
    </row>
    <row r="1039" spans="1:40" x14ac:dyDescent="0.25">
      <c r="A1039" s="16"/>
      <c r="B1039" s="27"/>
      <c r="C1039" s="9"/>
      <c r="D1039" s="6"/>
      <c r="E1039" s="1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  <c r="V1039" s="16"/>
      <c r="W1039" s="16"/>
      <c r="X1039" s="16"/>
      <c r="Y1039" s="16"/>
      <c r="Z1039" s="16"/>
      <c r="AA1039" s="16"/>
      <c r="AB1039" s="16"/>
      <c r="AC1039" s="16"/>
      <c r="AD1039" s="16"/>
      <c r="AE1039" s="16"/>
      <c r="AF1039" s="16"/>
      <c r="AG1039" s="16"/>
      <c r="AH1039" s="16"/>
      <c r="AI1039" s="16"/>
      <c r="AJ1039" s="16"/>
      <c r="AK1039" s="16"/>
      <c r="AL1039" s="16"/>
      <c r="AM1039" s="16"/>
      <c r="AN1039" s="16"/>
    </row>
    <row r="1040" spans="1:40" x14ac:dyDescent="0.25">
      <c r="A1040" s="16"/>
      <c r="B1040" s="27"/>
      <c r="C1040" s="9"/>
      <c r="D1040" s="6"/>
      <c r="E1040" s="1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  <c r="V1040" s="16"/>
      <c r="W1040" s="16"/>
      <c r="X1040" s="16"/>
      <c r="Y1040" s="16"/>
      <c r="Z1040" s="16"/>
      <c r="AA1040" s="16"/>
      <c r="AB1040" s="16"/>
      <c r="AC1040" s="16"/>
      <c r="AD1040" s="16"/>
      <c r="AE1040" s="16"/>
      <c r="AF1040" s="16"/>
      <c r="AG1040" s="16"/>
      <c r="AH1040" s="16"/>
      <c r="AI1040" s="16"/>
      <c r="AJ1040" s="16"/>
      <c r="AK1040" s="16"/>
      <c r="AL1040" s="16"/>
      <c r="AM1040" s="16"/>
      <c r="AN1040" s="16"/>
    </row>
    <row r="1041" spans="1:40" x14ac:dyDescent="0.25">
      <c r="A1041" s="16"/>
      <c r="B1041" s="27"/>
      <c r="C1041" s="9"/>
      <c r="D1041" s="6"/>
      <c r="E1041" s="1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  <c r="V1041" s="16"/>
      <c r="W1041" s="16"/>
      <c r="X1041" s="16"/>
      <c r="Y1041" s="16"/>
      <c r="Z1041" s="16"/>
      <c r="AA1041" s="16"/>
      <c r="AB1041" s="16"/>
      <c r="AC1041" s="16"/>
      <c r="AD1041" s="16"/>
      <c r="AE1041" s="16"/>
      <c r="AF1041" s="16"/>
      <c r="AG1041" s="16"/>
      <c r="AH1041" s="16"/>
      <c r="AI1041" s="16"/>
      <c r="AJ1041" s="16"/>
      <c r="AK1041" s="16"/>
      <c r="AL1041" s="16"/>
      <c r="AM1041" s="16"/>
      <c r="AN1041" s="16"/>
    </row>
    <row r="1042" spans="1:40" x14ac:dyDescent="0.25">
      <c r="A1042" s="16"/>
      <c r="B1042" s="27"/>
      <c r="C1042" s="9"/>
      <c r="D1042" s="6"/>
      <c r="E1042" s="1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  <c r="V1042" s="16"/>
      <c r="W1042" s="16"/>
      <c r="X1042" s="16"/>
      <c r="Y1042" s="16"/>
      <c r="Z1042" s="16"/>
      <c r="AA1042" s="16"/>
      <c r="AB1042" s="16"/>
      <c r="AC1042" s="16"/>
      <c r="AD1042" s="16"/>
      <c r="AE1042" s="16"/>
      <c r="AF1042" s="16"/>
      <c r="AG1042" s="16"/>
      <c r="AH1042" s="16"/>
      <c r="AI1042" s="16"/>
      <c r="AJ1042" s="16"/>
      <c r="AK1042" s="16"/>
      <c r="AL1042" s="16"/>
      <c r="AM1042" s="16"/>
      <c r="AN1042" s="16"/>
    </row>
    <row r="1043" spans="1:40" x14ac:dyDescent="0.25">
      <c r="A1043" s="16"/>
      <c r="B1043" s="27"/>
      <c r="C1043" s="9"/>
      <c r="D1043" s="6"/>
      <c r="E1043" s="1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  <c r="V1043" s="16"/>
      <c r="W1043" s="16"/>
      <c r="X1043" s="16"/>
      <c r="Y1043" s="16"/>
      <c r="Z1043" s="16"/>
      <c r="AA1043" s="16"/>
      <c r="AB1043" s="16"/>
      <c r="AC1043" s="16"/>
      <c r="AD1043" s="16"/>
      <c r="AE1043" s="16"/>
      <c r="AF1043" s="16"/>
      <c r="AG1043" s="16"/>
      <c r="AH1043" s="16"/>
      <c r="AI1043" s="16"/>
      <c r="AJ1043" s="16"/>
      <c r="AK1043" s="16"/>
      <c r="AL1043" s="16"/>
      <c r="AM1043" s="16"/>
      <c r="AN1043" s="16"/>
    </row>
    <row r="1044" spans="1:40" x14ac:dyDescent="0.25">
      <c r="A1044" s="16"/>
      <c r="B1044" s="27"/>
      <c r="C1044" s="9"/>
      <c r="D1044" s="6"/>
      <c r="E1044" s="1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  <c r="V1044" s="16"/>
      <c r="W1044" s="16"/>
      <c r="X1044" s="16"/>
      <c r="Y1044" s="16"/>
      <c r="Z1044" s="16"/>
      <c r="AA1044" s="16"/>
      <c r="AB1044" s="16"/>
      <c r="AC1044" s="16"/>
      <c r="AD1044" s="16"/>
      <c r="AE1044" s="16"/>
      <c r="AF1044" s="16"/>
      <c r="AG1044" s="16"/>
      <c r="AH1044" s="16"/>
      <c r="AI1044" s="16"/>
      <c r="AJ1044" s="16"/>
      <c r="AK1044" s="16"/>
      <c r="AL1044" s="16"/>
      <c r="AM1044" s="16"/>
      <c r="AN1044" s="16"/>
    </row>
    <row r="1045" spans="1:40" x14ac:dyDescent="0.25">
      <c r="A1045" s="16"/>
      <c r="B1045" s="27"/>
      <c r="C1045" s="9"/>
      <c r="D1045" s="6"/>
      <c r="E1045" s="1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  <c r="V1045" s="16"/>
      <c r="W1045" s="16"/>
      <c r="X1045" s="16"/>
      <c r="Y1045" s="16"/>
      <c r="Z1045" s="16"/>
      <c r="AA1045" s="16"/>
      <c r="AB1045" s="16"/>
      <c r="AC1045" s="16"/>
      <c r="AD1045" s="16"/>
      <c r="AE1045" s="16"/>
      <c r="AF1045" s="16"/>
      <c r="AG1045" s="16"/>
      <c r="AH1045" s="16"/>
      <c r="AI1045" s="16"/>
      <c r="AJ1045" s="16"/>
      <c r="AK1045" s="16"/>
      <c r="AL1045" s="16"/>
      <c r="AM1045" s="16"/>
      <c r="AN1045" s="16"/>
    </row>
    <row r="1046" spans="1:40" x14ac:dyDescent="0.25">
      <c r="A1046" s="16"/>
      <c r="B1046" s="27"/>
      <c r="C1046" s="9"/>
      <c r="D1046" s="6"/>
      <c r="E1046" s="1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  <c r="V1046" s="16"/>
      <c r="W1046" s="16"/>
      <c r="X1046" s="16"/>
      <c r="Y1046" s="16"/>
      <c r="Z1046" s="16"/>
      <c r="AA1046" s="16"/>
      <c r="AB1046" s="16"/>
      <c r="AC1046" s="16"/>
      <c r="AD1046" s="16"/>
      <c r="AE1046" s="16"/>
      <c r="AF1046" s="16"/>
      <c r="AG1046" s="16"/>
      <c r="AH1046" s="16"/>
      <c r="AI1046" s="16"/>
      <c r="AJ1046" s="16"/>
      <c r="AK1046" s="16"/>
      <c r="AL1046" s="16"/>
      <c r="AM1046" s="16"/>
      <c r="AN1046" s="16"/>
    </row>
    <row r="1047" spans="1:40" x14ac:dyDescent="0.25">
      <c r="A1047" s="16"/>
      <c r="B1047" s="27"/>
      <c r="C1047" s="9"/>
      <c r="D1047" s="6"/>
      <c r="E1047" s="1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  <c r="V1047" s="16"/>
      <c r="W1047" s="16"/>
      <c r="X1047" s="16"/>
      <c r="Y1047" s="16"/>
      <c r="Z1047" s="16"/>
      <c r="AA1047" s="16"/>
      <c r="AB1047" s="16"/>
      <c r="AC1047" s="16"/>
      <c r="AD1047" s="16"/>
      <c r="AE1047" s="16"/>
      <c r="AF1047" s="16"/>
      <c r="AG1047" s="16"/>
      <c r="AH1047" s="16"/>
      <c r="AI1047" s="16"/>
      <c r="AJ1047" s="16"/>
      <c r="AK1047" s="16"/>
      <c r="AL1047" s="16"/>
      <c r="AM1047" s="16"/>
      <c r="AN1047" s="16"/>
    </row>
    <row r="1048" spans="1:40" x14ac:dyDescent="0.25">
      <c r="A1048" s="16"/>
      <c r="B1048" s="27"/>
      <c r="C1048" s="9"/>
      <c r="D1048" s="6"/>
      <c r="E1048" s="1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  <c r="V1048" s="16"/>
      <c r="W1048" s="16"/>
      <c r="X1048" s="16"/>
      <c r="Y1048" s="16"/>
      <c r="Z1048" s="16"/>
      <c r="AA1048" s="16"/>
      <c r="AB1048" s="16"/>
      <c r="AC1048" s="16"/>
      <c r="AD1048" s="16"/>
      <c r="AE1048" s="16"/>
      <c r="AF1048" s="16"/>
      <c r="AG1048" s="16"/>
      <c r="AH1048" s="16"/>
      <c r="AI1048" s="16"/>
      <c r="AJ1048" s="16"/>
      <c r="AK1048" s="16"/>
      <c r="AL1048" s="16"/>
      <c r="AM1048" s="16"/>
      <c r="AN1048" s="16"/>
    </row>
    <row r="1049" spans="1:40" x14ac:dyDescent="0.25">
      <c r="A1049" s="16"/>
      <c r="B1049" s="27"/>
      <c r="C1049" s="9"/>
      <c r="D1049" s="6"/>
      <c r="E1049" s="1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  <c r="V1049" s="16"/>
      <c r="W1049" s="16"/>
      <c r="X1049" s="16"/>
      <c r="Y1049" s="16"/>
      <c r="Z1049" s="16"/>
      <c r="AA1049" s="16"/>
      <c r="AB1049" s="16"/>
      <c r="AC1049" s="16"/>
      <c r="AD1049" s="16"/>
      <c r="AE1049" s="16"/>
      <c r="AF1049" s="16"/>
      <c r="AG1049" s="16"/>
      <c r="AH1049" s="16"/>
      <c r="AI1049" s="16"/>
      <c r="AJ1049" s="16"/>
      <c r="AK1049" s="16"/>
      <c r="AL1049" s="16"/>
      <c r="AM1049" s="16"/>
      <c r="AN1049" s="16"/>
    </row>
    <row r="1050" spans="1:40" x14ac:dyDescent="0.25">
      <c r="A1050" s="16"/>
      <c r="B1050" s="27"/>
      <c r="C1050" s="9"/>
      <c r="D1050" s="6"/>
      <c r="E1050" s="1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  <c r="V1050" s="16"/>
      <c r="W1050" s="16"/>
      <c r="X1050" s="16"/>
      <c r="Y1050" s="16"/>
      <c r="Z1050" s="16"/>
      <c r="AA1050" s="16"/>
      <c r="AB1050" s="16"/>
      <c r="AC1050" s="16"/>
      <c r="AD1050" s="16"/>
      <c r="AE1050" s="16"/>
      <c r="AF1050" s="16"/>
      <c r="AG1050" s="16"/>
      <c r="AH1050" s="16"/>
      <c r="AI1050" s="16"/>
      <c r="AJ1050" s="16"/>
      <c r="AK1050" s="16"/>
      <c r="AL1050" s="16"/>
      <c r="AM1050" s="16"/>
      <c r="AN1050" s="16"/>
    </row>
    <row r="1051" spans="1:40" x14ac:dyDescent="0.25">
      <c r="A1051" s="16"/>
      <c r="B1051" s="27"/>
      <c r="C1051" s="9"/>
      <c r="D1051" s="6"/>
      <c r="E1051" s="1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  <c r="V1051" s="16"/>
      <c r="W1051" s="16"/>
      <c r="X1051" s="16"/>
      <c r="Y1051" s="16"/>
      <c r="Z1051" s="16"/>
      <c r="AA1051" s="16"/>
      <c r="AB1051" s="16"/>
      <c r="AC1051" s="16"/>
      <c r="AD1051" s="16"/>
      <c r="AE1051" s="16"/>
      <c r="AF1051" s="16"/>
      <c r="AG1051" s="16"/>
      <c r="AH1051" s="16"/>
      <c r="AI1051" s="16"/>
      <c r="AJ1051" s="16"/>
      <c r="AK1051" s="16"/>
      <c r="AL1051" s="16"/>
      <c r="AM1051" s="16"/>
      <c r="AN1051" s="16"/>
    </row>
    <row r="1052" spans="1:40" x14ac:dyDescent="0.25">
      <c r="A1052" s="16"/>
      <c r="B1052" s="27"/>
      <c r="C1052" s="9"/>
      <c r="D1052" s="6"/>
      <c r="E1052" s="1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  <c r="V1052" s="16"/>
      <c r="W1052" s="16"/>
      <c r="X1052" s="16"/>
      <c r="Y1052" s="16"/>
      <c r="Z1052" s="16"/>
      <c r="AA1052" s="16"/>
      <c r="AB1052" s="16"/>
      <c r="AC1052" s="16"/>
      <c r="AD1052" s="16"/>
      <c r="AE1052" s="16"/>
      <c r="AF1052" s="16"/>
      <c r="AG1052" s="16"/>
      <c r="AH1052" s="16"/>
      <c r="AI1052" s="16"/>
      <c r="AJ1052" s="16"/>
      <c r="AK1052" s="16"/>
      <c r="AL1052" s="16"/>
      <c r="AM1052" s="16"/>
      <c r="AN1052" s="16"/>
    </row>
    <row r="1053" spans="1:40" x14ac:dyDescent="0.25">
      <c r="A1053" s="16"/>
      <c r="B1053" s="27"/>
      <c r="C1053" s="9"/>
      <c r="D1053" s="6"/>
      <c r="E1053" s="1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  <c r="V1053" s="16"/>
      <c r="W1053" s="16"/>
      <c r="X1053" s="16"/>
      <c r="Y1053" s="16"/>
      <c r="Z1053" s="16"/>
      <c r="AA1053" s="16"/>
      <c r="AB1053" s="16"/>
      <c r="AC1053" s="16"/>
      <c r="AD1053" s="16"/>
      <c r="AE1053" s="16"/>
      <c r="AF1053" s="16"/>
      <c r="AG1053" s="16"/>
      <c r="AH1053" s="16"/>
      <c r="AI1053" s="16"/>
      <c r="AJ1053" s="16"/>
      <c r="AK1053" s="16"/>
      <c r="AL1053" s="16"/>
      <c r="AM1053" s="16"/>
      <c r="AN1053" s="16"/>
    </row>
    <row r="1054" spans="1:40" x14ac:dyDescent="0.25">
      <c r="A1054" s="16"/>
      <c r="B1054" s="27"/>
      <c r="C1054" s="9"/>
      <c r="D1054" s="6"/>
      <c r="E1054" s="1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  <c r="V1054" s="16"/>
      <c r="W1054" s="16"/>
      <c r="X1054" s="16"/>
      <c r="Y1054" s="16"/>
      <c r="Z1054" s="16"/>
      <c r="AA1054" s="16"/>
      <c r="AB1054" s="16"/>
      <c r="AC1054" s="16"/>
      <c r="AD1054" s="16"/>
      <c r="AE1054" s="16"/>
      <c r="AF1054" s="16"/>
      <c r="AG1054" s="16"/>
      <c r="AH1054" s="16"/>
      <c r="AI1054" s="16"/>
      <c r="AJ1054" s="16"/>
      <c r="AK1054" s="16"/>
      <c r="AL1054" s="16"/>
      <c r="AM1054" s="16"/>
      <c r="AN1054" s="16"/>
    </row>
    <row r="1055" spans="1:40" x14ac:dyDescent="0.25">
      <c r="A1055" s="16"/>
      <c r="B1055" s="27"/>
      <c r="C1055" s="9"/>
      <c r="D1055" s="6"/>
      <c r="E1055" s="1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  <c r="V1055" s="16"/>
      <c r="W1055" s="16"/>
      <c r="X1055" s="16"/>
      <c r="Y1055" s="16"/>
      <c r="Z1055" s="16"/>
      <c r="AA1055" s="16"/>
      <c r="AB1055" s="16"/>
      <c r="AC1055" s="16"/>
      <c r="AD1055" s="16"/>
      <c r="AE1055" s="16"/>
      <c r="AF1055" s="16"/>
      <c r="AG1055" s="16"/>
      <c r="AH1055" s="16"/>
      <c r="AI1055" s="16"/>
      <c r="AJ1055" s="16"/>
      <c r="AK1055" s="16"/>
      <c r="AL1055" s="16"/>
      <c r="AM1055" s="16"/>
      <c r="AN1055" s="16"/>
    </row>
    <row r="1056" spans="1:40" x14ac:dyDescent="0.25">
      <c r="A1056" s="16"/>
      <c r="B1056" s="27"/>
      <c r="C1056" s="9"/>
      <c r="D1056" s="6"/>
      <c r="E1056" s="1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  <c r="V1056" s="16"/>
      <c r="W1056" s="16"/>
      <c r="X1056" s="16"/>
      <c r="Y1056" s="16"/>
      <c r="Z1056" s="16"/>
      <c r="AA1056" s="16"/>
      <c r="AB1056" s="16"/>
      <c r="AC1056" s="16"/>
      <c r="AD1056" s="16"/>
      <c r="AE1056" s="16"/>
      <c r="AF1056" s="16"/>
      <c r="AG1056" s="16"/>
      <c r="AH1056" s="16"/>
      <c r="AI1056" s="16"/>
      <c r="AJ1056" s="16"/>
      <c r="AK1056" s="16"/>
      <c r="AL1056" s="16"/>
      <c r="AM1056" s="16"/>
      <c r="AN1056" s="16"/>
    </row>
    <row r="1057" spans="1:40" x14ac:dyDescent="0.25">
      <c r="A1057" s="16"/>
      <c r="B1057" s="27"/>
      <c r="C1057" s="9"/>
      <c r="D1057" s="6"/>
      <c r="E1057" s="1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  <c r="V1057" s="16"/>
      <c r="W1057" s="16"/>
      <c r="X1057" s="16"/>
      <c r="Y1057" s="16"/>
      <c r="Z1057" s="16"/>
      <c r="AA1057" s="16"/>
      <c r="AB1057" s="16"/>
      <c r="AC1057" s="16"/>
      <c r="AD1057" s="16"/>
      <c r="AE1057" s="16"/>
      <c r="AF1057" s="16"/>
      <c r="AG1057" s="16"/>
      <c r="AH1057" s="16"/>
      <c r="AI1057" s="16"/>
      <c r="AJ1057" s="16"/>
      <c r="AK1057" s="16"/>
      <c r="AL1057" s="16"/>
      <c r="AM1057" s="16"/>
      <c r="AN1057" s="16"/>
    </row>
    <row r="1058" spans="1:40" x14ac:dyDescent="0.25">
      <c r="A1058" s="16"/>
      <c r="B1058" s="27"/>
      <c r="C1058" s="9"/>
      <c r="D1058" s="6"/>
      <c r="E1058" s="1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  <c r="V1058" s="16"/>
      <c r="W1058" s="16"/>
      <c r="X1058" s="16"/>
      <c r="Y1058" s="16"/>
      <c r="Z1058" s="16"/>
      <c r="AA1058" s="16"/>
      <c r="AB1058" s="16"/>
      <c r="AC1058" s="16"/>
      <c r="AD1058" s="16"/>
      <c r="AE1058" s="16"/>
      <c r="AF1058" s="16"/>
      <c r="AG1058" s="16"/>
      <c r="AH1058" s="16"/>
      <c r="AI1058" s="16"/>
      <c r="AJ1058" s="16"/>
      <c r="AK1058" s="16"/>
      <c r="AL1058" s="16"/>
      <c r="AM1058" s="16"/>
      <c r="AN1058" s="16"/>
    </row>
    <row r="1059" spans="1:40" x14ac:dyDescent="0.25">
      <c r="A1059" s="16"/>
      <c r="B1059" s="27"/>
      <c r="C1059" s="9"/>
      <c r="D1059" s="6"/>
      <c r="E1059" s="1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  <c r="V1059" s="16"/>
      <c r="W1059" s="16"/>
      <c r="X1059" s="16"/>
      <c r="Y1059" s="16"/>
      <c r="Z1059" s="16"/>
      <c r="AA1059" s="16"/>
      <c r="AB1059" s="16"/>
      <c r="AC1059" s="16"/>
      <c r="AD1059" s="16"/>
      <c r="AE1059" s="16"/>
      <c r="AF1059" s="16"/>
      <c r="AG1059" s="16"/>
      <c r="AH1059" s="16"/>
      <c r="AI1059" s="16"/>
      <c r="AJ1059" s="16"/>
      <c r="AK1059" s="16"/>
      <c r="AL1059" s="16"/>
      <c r="AM1059" s="16"/>
      <c r="AN1059" s="16"/>
    </row>
    <row r="1060" spans="1:40" x14ac:dyDescent="0.25">
      <c r="A1060" s="16"/>
      <c r="B1060" s="27"/>
      <c r="C1060" s="9"/>
      <c r="D1060" s="6"/>
      <c r="E1060" s="1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  <c r="V1060" s="16"/>
      <c r="W1060" s="16"/>
      <c r="X1060" s="16"/>
      <c r="Y1060" s="16"/>
      <c r="Z1060" s="16"/>
      <c r="AA1060" s="16"/>
      <c r="AB1060" s="16"/>
      <c r="AC1060" s="16"/>
      <c r="AD1060" s="16"/>
      <c r="AE1060" s="16"/>
      <c r="AF1060" s="16"/>
      <c r="AG1060" s="16"/>
      <c r="AH1060" s="16"/>
      <c r="AI1060" s="16"/>
      <c r="AJ1060" s="16"/>
      <c r="AK1060" s="16"/>
      <c r="AL1060" s="16"/>
      <c r="AM1060" s="16"/>
      <c r="AN1060" s="16"/>
    </row>
    <row r="1061" spans="1:40" x14ac:dyDescent="0.25">
      <c r="A1061" s="16"/>
      <c r="B1061" s="27"/>
      <c r="C1061" s="9"/>
      <c r="D1061" s="6"/>
      <c r="E1061" s="1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  <c r="V1061" s="16"/>
      <c r="W1061" s="16"/>
      <c r="X1061" s="16"/>
      <c r="Y1061" s="16"/>
      <c r="Z1061" s="16"/>
      <c r="AA1061" s="16"/>
      <c r="AB1061" s="16"/>
      <c r="AC1061" s="16"/>
      <c r="AD1061" s="16"/>
      <c r="AE1061" s="16"/>
      <c r="AF1061" s="16"/>
      <c r="AG1061" s="16"/>
      <c r="AH1061" s="16"/>
      <c r="AI1061" s="16"/>
      <c r="AJ1061" s="16"/>
      <c r="AK1061" s="16"/>
      <c r="AL1061" s="16"/>
      <c r="AM1061" s="16"/>
      <c r="AN1061" s="16"/>
    </row>
    <row r="1062" spans="1:40" x14ac:dyDescent="0.25">
      <c r="A1062" s="16"/>
      <c r="B1062" s="27"/>
      <c r="C1062" s="9"/>
      <c r="D1062" s="6"/>
      <c r="E1062" s="1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  <c r="V1062" s="16"/>
      <c r="W1062" s="16"/>
      <c r="X1062" s="16"/>
      <c r="Y1062" s="16"/>
      <c r="Z1062" s="16"/>
      <c r="AA1062" s="16"/>
      <c r="AB1062" s="16"/>
      <c r="AC1062" s="16"/>
      <c r="AD1062" s="16"/>
      <c r="AE1062" s="16"/>
      <c r="AF1062" s="16"/>
      <c r="AG1062" s="16"/>
      <c r="AH1062" s="16"/>
      <c r="AI1062" s="16"/>
      <c r="AJ1062" s="16"/>
      <c r="AK1062" s="16"/>
      <c r="AL1062" s="16"/>
      <c r="AM1062" s="16"/>
      <c r="AN1062" s="16"/>
    </row>
    <row r="1063" spans="1:40" x14ac:dyDescent="0.25">
      <c r="A1063" s="16"/>
      <c r="B1063" s="27"/>
      <c r="C1063" s="9"/>
      <c r="D1063" s="6"/>
      <c r="E1063" s="1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  <c r="V1063" s="16"/>
      <c r="W1063" s="16"/>
      <c r="X1063" s="16"/>
      <c r="Y1063" s="16"/>
      <c r="Z1063" s="16"/>
      <c r="AA1063" s="16"/>
      <c r="AB1063" s="16"/>
      <c r="AC1063" s="16"/>
      <c r="AD1063" s="16"/>
      <c r="AE1063" s="16"/>
      <c r="AF1063" s="16"/>
      <c r="AG1063" s="16"/>
      <c r="AH1063" s="16"/>
      <c r="AI1063" s="16"/>
      <c r="AJ1063" s="16"/>
      <c r="AK1063" s="16"/>
      <c r="AL1063" s="16"/>
      <c r="AM1063" s="16"/>
      <c r="AN1063" s="16"/>
    </row>
    <row r="1064" spans="1:40" x14ac:dyDescent="0.25">
      <c r="A1064" s="16"/>
      <c r="B1064" s="27"/>
      <c r="C1064" s="9"/>
      <c r="D1064" s="6"/>
      <c r="E1064" s="1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  <c r="V1064" s="16"/>
      <c r="W1064" s="16"/>
      <c r="X1064" s="16"/>
      <c r="Y1064" s="16"/>
      <c r="Z1064" s="16"/>
      <c r="AA1064" s="16"/>
      <c r="AB1064" s="16"/>
      <c r="AC1064" s="16"/>
      <c r="AD1064" s="16"/>
      <c r="AE1064" s="16"/>
      <c r="AF1064" s="16"/>
      <c r="AG1064" s="16"/>
      <c r="AH1064" s="16"/>
      <c r="AI1064" s="16"/>
      <c r="AJ1064" s="16"/>
      <c r="AK1064" s="16"/>
      <c r="AL1064" s="16"/>
      <c r="AM1064" s="16"/>
      <c r="AN1064" s="16"/>
    </row>
    <row r="1065" spans="1:40" x14ac:dyDescent="0.25">
      <c r="A1065" s="16"/>
      <c r="B1065" s="27"/>
      <c r="C1065" s="9"/>
      <c r="D1065" s="6"/>
      <c r="E1065" s="1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  <c r="V1065" s="16"/>
      <c r="W1065" s="16"/>
      <c r="X1065" s="16"/>
      <c r="Y1065" s="16"/>
      <c r="Z1065" s="16"/>
      <c r="AA1065" s="16"/>
      <c r="AB1065" s="16"/>
      <c r="AC1065" s="16"/>
      <c r="AD1065" s="16"/>
      <c r="AE1065" s="16"/>
      <c r="AF1065" s="16"/>
      <c r="AG1065" s="16"/>
      <c r="AH1065" s="16"/>
      <c r="AI1065" s="16"/>
      <c r="AJ1065" s="16"/>
      <c r="AK1065" s="16"/>
      <c r="AL1065" s="16"/>
      <c r="AM1065" s="16"/>
      <c r="AN1065" s="16"/>
    </row>
    <row r="1066" spans="1:40" x14ac:dyDescent="0.25">
      <c r="A1066" s="16"/>
      <c r="B1066" s="27"/>
      <c r="C1066" s="9"/>
      <c r="D1066" s="6"/>
      <c r="E1066" s="1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  <c r="V1066" s="16"/>
      <c r="W1066" s="16"/>
      <c r="X1066" s="16"/>
      <c r="Y1066" s="16"/>
      <c r="Z1066" s="16"/>
      <c r="AA1066" s="16"/>
      <c r="AB1066" s="16"/>
      <c r="AC1066" s="16"/>
      <c r="AD1066" s="16"/>
      <c r="AE1066" s="16"/>
      <c r="AF1066" s="16"/>
      <c r="AG1066" s="16"/>
      <c r="AH1066" s="16"/>
      <c r="AI1066" s="16"/>
      <c r="AJ1066" s="16"/>
      <c r="AK1066" s="16"/>
      <c r="AL1066" s="16"/>
      <c r="AM1066" s="16"/>
      <c r="AN1066" s="16"/>
    </row>
    <row r="1067" spans="1:40" x14ac:dyDescent="0.25">
      <c r="A1067" s="16"/>
      <c r="B1067" s="27"/>
      <c r="C1067" s="9"/>
      <c r="D1067" s="6"/>
      <c r="E1067" s="1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  <c r="V1067" s="16"/>
      <c r="W1067" s="16"/>
      <c r="X1067" s="16"/>
      <c r="Y1067" s="16"/>
      <c r="Z1067" s="16"/>
      <c r="AA1067" s="16"/>
      <c r="AB1067" s="16"/>
      <c r="AC1067" s="16"/>
      <c r="AD1067" s="16"/>
      <c r="AE1067" s="16"/>
      <c r="AF1067" s="16"/>
      <c r="AG1067" s="16"/>
      <c r="AH1067" s="16"/>
      <c r="AI1067" s="16"/>
      <c r="AJ1067" s="16"/>
      <c r="AK1067" s="16"/>
      <c r="AL1067" s="16"/>
      <c r="AM1067" s="16"/>
      <c r="AN1067" s="16"/>
    </row>
    <row r="1068" spans="1:40" x14ac:dyDescent="0.25">
      <c r="A1068" s="16"/>
      <c r="B1068" s="27"/>
      <c r="C1068" s="9"/>
      <c r="D1068" s="6"/>
      <c r="E1068" s="1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  <c r="V1068" s="16"/>
      <c r="W1068" s="16"/>
      <c r="X1068" s="16"/>
      <c r="Y1068" s="16"/>
      <c r="Z1068" s="16"/>
      <c r="AA1068" s="16"/>
      <c r="AB1068" s="16"/>
      <c r="AC1068" s="16"/>
      <c r="AD1068" s="16"/>
      <c r="AE1068" s="16"/>
      <c r="AF1068" s="16"/>
      <c r="AG1068" s="16"/>
      <c r="AH1068" s="16"/>
      <c r="AI1068" s="16"/>
      <c r="AJ1068" s="16"/>
      <c r="AK1068" s="16"/>
      <c r="AL1068" s="16"/>
      <c r="AM1068" s="16"/>
      <c r="AN1068" s="16"/>
    </row>
    <row r="1069" spans="1:40" x14ac:dyDescent="0.25">
      <c r="A1069" s="16"/>
      <c r="B1069" s="27"/>
      <c r="C1069" s="9"/>
      <c r="D1069" s="6"/>
      <c r="E1069" s="1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  <c r="V1069" s="16"/>
      <c r="W1069" s="16"/>
      <c r="X1069" s="16"/>
      <c r="Y1069" s="16"/>
      <c r="Z1069" s="16"/>
      <c r="AA1069" s="16"/>
      <c r="AB1069" s="16"/>
      <c r="AC1069" s="16"/>
      <c r="AD1069" s="16"/>
      <c r="AE1069" s="16"/>
      <c r="AF1069" s="16"/>
      <c r="AG1069" s="16"/>
      <c r="AH1069" s="16"/>
      <c r="AI1069" s="16"/>
      <c r="AJ1069" s="16"/>
      <c r="AK1069" s="16"/>
      <c r="AL1069" s="16"/>
      <c r="AM1069" s="16"/>
      <c r="AN1069" s="16"/>
    </row>
    <row r="1070" spans="1:40" x14ac:dyDescent="0.25">
      <c r="A1070" s="16"/>
      <c r="B1070" s="27"/>
      <c r="C1070" s="9"/>
      <c r="D1070" s="6"/>
      <c r="E1070" s="1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  <c r="V1070" s="16"/>
      <c r="W1070" s="16"/>
      <c r="X1070" s="16"/>
      <c r="Y1070" s="16"/>
      <c r="Z1070" s="16"/>
      <c r="AA1070" s="16"/>
      <c r="AB1070" s="16"/>
      <c r="AC1070" s="16"/>
      <c r="AD1070" s="16"/>
      <c r="AE1070" s="16"/>
      <c r="AF1070" s="16"/>
      <c r="AG1070" s="16"/>
      <c r="AH1070" s="16"/>
      <c r="AI1070" s="16"/>
      <c r="AJ1070" s="16"/>
      <c r="AK1070" s="16"/>
      <c r="AL1070" s="16"/>
      <c r="AM1070" s="16"/>
      <c r="AN1070" s="16"/>
    </row>
    <row r="1071" spans="1:40" x14ac:dyDescent="0.25">
      <c r="A1071" s="16"/>
      <c r="B1071" s="27"/>
      <c r="C1071" s="9"/>
      <c r="D1071" s="6"/>
      <c r="E1071" s="1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  <c r="V1071" s="16"/>
      <c r="W1071" s="16"/>
      <c r="X1071" s="16"/>
      <c r="Y1071" s="16"/>
      <c r="Z1071" s="16"/>
      <c r="AA1071" s="16"/>
      <c r="AB1071" s="16"/>
      <c r="AC1071" s="16"/>
      <c r="AD1071" s="16"/>
      <c r="AE1071" s="16"/>
      <c r="AF1071" s="16"/>
      <c r="AG1071" s="16"/>
      <c r="AH1071" s="16"/>
      <c r="AI1071" s="16"/>
      <c r="AJ1071" s="16"/>
      <c r="AK1071" s="16"/>
      <c r="AL1071" s="16"/>
      <c r="AM1071" s="16"/>
      <c r="AN1071" s="16"/>
    </row>
    <row r="1072" spans="1:40" x14ac:dyDescent="0.25">
      <c r="A1072" s="16"/>
      <c r="B1072" s="27"/>
      <c r="C1072" s="9"/>
      <c r="D1072" s="6"/>
      <c r="E1072" s="1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  <c r="V1072" s="16"/>
      <c r="W1072" s="16"/>
      <c r="X1072" s="16"/>
      <c r="Y1072" s="16"/>
      <c r="Z1072" s="16"/>
      <c r="AA1072" s="16"/>
      <c r="AB1072" s="16"/>
      <c r="AC1072" s="16"/>
      <c r="AD1072" s="16"/>
      <c r="AE1072" s="16"/>
      <c r="AF1072" s="16"/>
      <c r="AG1072" s="16"/>
      <c r="AH1072" s="16"/>
      <c r="AI1072" s="16"/>
      <c r="AJ1072" s="16"/>
      <c r="AK1072" s="16"/>
      <c r="AL1072" s="16"/>
      <c r="AM1072" s="16"/>
      <c r="AN1072" s="16"/>
    </row>
    <row r="1073" spans="1:40" x14ac:dyDescent="0.25">
      <c r="A1073" s="16"/>
      <c r="B1073" s="27"/>
      <c r="C1073" s="9"/>
      <c r="D1073" s="6"/>
      <c r="E1073" s="1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  <c r="V1073" s="16"/>
      <c r="W1073" s="16"/>
      <c r="X1073" s="16"/>
      <c r="Y1073" s="16"/>
      <c r="Z1073" s="16"/>
      <c r="AA1073" s="16"/>
      <c r="AB1073" s="16"/>
      <c r="AC1073" s="16"/>
      <c r="AD1073" s="16"/>
      <c r="AE1073" s="16"/>
      <c r="AF1073" s="16"/>
      <c r="AG1073" s="16"/>
      <c r="AH1073" s="16"/>
      <c r="AI1073" s="16"/>
      <c r="AJ1073" s="16"/>
      <c r="AK1073" s="16"/>
      <c r="AL1073" s="16"/>
      <c r="AM1073" s="16"/>
      <c r="AN1073" s="16"/>
    </row>
    <row r="1074" spans="1:40" x14ac:dyDescent="0.25">
      <c r="A1074" s="16"/>
      <c r="B1074" s="27"/>
      <c r="C1074" s="9"/>
      <c r="D1074" s="6"/>
      <c r="E1074" s="1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  <c r="V1074" s="16"/>
      <c r="W1074" s="16"/>
      <c r="X1074" s="16"/>
      <c r="Y1074" s="16"/>
      <c r="Z1074" s="16"/>
      <c r="AA1074" s="16"/>
      <c r="AB1074" s="16"/>
      <c r="AC1074" s="16"/>
      <c r="AD1074" s="16"/>
      <c r="AE1074" s="16"/>
      <c r="AF1074" s="16"/>
      <c r="AG1074" s="16"/>
      <c r="AH1074" s="16"/>
      <c r="AI1074" s="16"/>
      <c r="AJ1074" s="16"/>
      <c r="AK1074" s="16"/>
      <c r="AL1074" s="16"/>
      <c r="AM1074" s="16"/>
      <c r="AN1074" s="16"/>
    </row>
    <row r="1075" spans="1:40" x14ac:dyDescent="0.25">
      <c r="A1075" s="16"/>
      <c r="B1075" s="27"/>
      <c r="C1075" s="9"/>
      <c r="D1075" s="6"/>
      <c r="E1075" s="1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  <c r="V1075" s="16"/>
      <c r="W1075" s="16"/>
      <c r="X1075" s="16"/>
      <c r="Y1075" s="16"/>
      <c r="Z1075" s="16"/>
      <c r="AA1075" s="16"/>
      <c r="AB1075" s="16"/>
      <c r="AC1075" s="16"/>
      <c r="AD1075" s="16"/>
      <c r="AE1075" s="16"/>
      <c r="AF1075" s="16"/>
      <c r="AG1075" s="16"/>
      <c r="AH1075" s="16"/>
      <c r="AI1075" s="16"/>
      <c r="AJ1075" s="16"/>
      <c r="AK1075" s="16"/>
      <c r="AL1075" s="16"/>
      <c r="AM1075" s="16"/>
      <c r="AN1075" s="16"/>
    </row>
    <row r="1076" spans="1:40" x14ac:dyDescent="0.25">
      <c r="A1076" s="16"/>
      <c r="B1076" s="27"/>
      <c r="C1076" s="9"/>
      <c r="D1076" s="6"/>
      <c r="E1076" s="1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  <c r="V1076" s="16"/>
      <c r="W1076" s="16"/>
      <c r="X1076" s="16"/>
      <c r="Y1076" s="16"/>
      <c r="Z1076" s="16"/>
      <c r="AA1076" s="16"/>
      <c r="AB1076" s="16"/>
      <c r="AC1076" s="16"/>
      <c r="AD1076" s="16"/>
      <c r="AE1076" s="16"/>
      <c r="AF1076" s="16"/>
      <c r="AG1076" s="16"/>
      <c r="AH1076" s="16"/>
      <c r="AI1076" s="16"/>
      <c r="AJ1076" s="16"/>
      <c r="AK1076" s="16"/>
      <c r="AL1076" s="16"/>
      <c r="AM1076" s="16"/>
      <c r="AN1076" s="16"/>
    </row>
    <row r="1077" spans="1:40" x14ac:dyDescent="0.25">
      <c r="A1077" s="16"/>
      <c r="B1077" s="27"/>
      <c r="C1077" s="9"/>
      <c r="D1077" s="6"/>
      <c r="E1077" s="1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  <c r="V1077" s="16"/>
      <c r="W1077" s="16"/>
      <c r="X1077" s="16"/>
      <c r="Y1077" s="16"/>
      <c r="Z1077" s="16"/>
      <c r="AA1077" s="16"/>
      <c r="AB1077" s="16"/>
      <c r="AC1077" s="16"/>
      <c r="AD1077" s="16"/>
      <c r="AE1077" s="16"/>
      <c r="AF1077" s="16"/>
      <c r="AG1077" s="16"/>
      <c r="AH1077" s="16"/>
      <c r="AI1077" s="16"/>
      <c r="AJ1077" s="16"/>
      <c r="AK1077" s="16"/>
      <c r="AL1077" s="16"/>
      <c r="AM1077" s="16"/>
      <c r="AN1077" s="16"/>
    </row>
    <row r="1078" spans="1:40" x14ac:dyDescent="0.25">
      <c r="A1078" s="16"/>
      <c r="B1078" s="27"/>
      <c r="C1078" s="9"/>
      <c r="D1078" s="6"/>
      <c r="E1078" s="1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  <c r="V1078" s="16"/>
      <c r="W1078" s="16"/>
      <c r="X1078" s="16"/>
      <c r="Y1078" s="16"/>
      <c r="Z1078" s="16"/>
      <c r="AA1078" s="16"/>
      <c r="AB1078" s="16"/>
      <c r="AC1078" s="16"/>
      <c r="AD1078" s="16"/>
      <c r="AE1078" s="16"/>
      <c r="AF1078" s="16"/>
      <c r="AG1078" s="16"/>
      <c r="AH1078" s="16"/>
      <c r="AI1078" s="16"/>
      <c r="AJ1078" s="16"/>
      <c r="AK1078" s="16"/>
      <c r="AL1078" s="16"/>
      <c r="AM1078" s="16"/>
      <c r="AN1078" s="16"/>
    </row>
    <row r="1079" spans="1:40" x14ac:dyDescent="0.25">
      <c r="A1079" s="16"/>
      <c r="B1079" s="27"/>
      <c r="C1079" s="9"/>
      <c r="D1079" s="6"/>
      <c r="E1079" s="1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  <c r="V1079" s="16"/>
      <c r="W1079" s="16"/>
      <c r="X1079" s="16"/>
      <c r="Y1079" s="16"/>
      <c r="Z1079" s="16"/>
      <c r="AA1079" s="16"/>
      <c r="AB1079" s="16"/>
      <c r="AC1079" s="16"/>
      <c r="AD1079" s="16"/>
      <c r="AE1079" s="16"/>
      <c r="AF1079" s="16"/>
      <c r="AG1079" s="16"/>
      <c r="AH1079" s="16"/>
      <c r="AI1079" s="16"/>
      <c r="AJ1079" s="16"/>
      <c r="AK1079" s="16"/>
      <c r="AL1079" s="16"/>
      <c r="AM1079" s="16"/>
      <c r="AN1079" s="16"/>
    </row>
    <row r="1080" spans="1:40" x14ac:dyDescent="0.25">
      <c r="A1080" s="16"/>
      <c r="B1080" s="27"/>
      <c r="C1080" s="9"/>
      <c r="D1080" s="6"/>
      <c r="E1080" s="1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  <c r="V1080" s="16"/>
      <c r="W1080" s="16"/>
      <c r="X1080" s="16"/>
      <c r="Y1080" s="16"/>
      <c r="Z1080" s="16"/>
      <c r="AA1080" s="16"/>
      <c r="AB1080" s="16"/>
      <c r="AC1080" s="16"/>
      <c r="AD1080" s="16"/>
      <c r="AE1080" s="16"/>
      <c r="AF1080" s="16"/>
      <c r="AG1080" s="16"/>
      <c r="AH1080" s="16"/>
      <c r="AI1080" s="16"/>
      <c r="AJ1080" s="16"/>
      <c r="AK1080" s="16"/>
      <c r="AL1080" s="16"/>
      <c r="AM1080" s="16"/>
      <c r="AN1080" s="16"/>
    </row>
    <row r="1081" spans="1:40" x14ac:dyDescent="0.25">
      <c r="A1081" s="16"/>
      <c r="B1081" s="27"/>
      <c r="C1081" s="9"/>
      <c r="D1081" s="6"/>
      <c r="E1081" s="1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  <c r="V1081" s="16"/>
      <c r="W1081" s="16"/>
      <c r="X1081" s="16"/>
      <c r="Y1081" s="16"/>
      <c r="Z1081" s="16"/>
      <c r="AA1081" s="16"/>
      <c r="AB1081" s="16"/>
      <c r="AC1081" s="16"/>
      <c r="AD1081" s="16"/>
      <c r="AE1081" s="16"/>
      <c r="AF1081" s="16"/>
      <c r="AG1081" s="16"/>
      <c r="AH1081" s="16"/>
      <c r="AI1081" s="16"/>
      <c r="AJ1081" s="16"/>
      <c r="AK1081" s="16"/>
      <c r="AL1081" s="16"/>
      <c r="AM1081" s="16"/>
      <c r="AN1081" s="16"/>
    </row>
    <row r="1082" spans="1:40" x14ac:dyDescent="0.25">
      <c r="A1082" s="16"/>
      <c r="B1082" s="27"/>
      <c r="C1082" s="9"/>
      <c r="D1082" s="6"/>
      <c r="E1082" s="1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  <c r="V1082" s="16"/>
      <c r="W1082" s="16"/>
      <c r="X1082" s="16"/>
      <c r="Y1082" s="16"/>
      <c r="Z1082" s="16"/>
      <c r="AA1082" s="16"/>
      <c r="AB1082" s="16"/>
      <c r="AC1082" s="16"/>
      <c r="AD1082" s="16"/>
      <c r="AE1082" s="16"/>
      <c r="AF1082" s="16"/>
      <c r="AG1082" s="16"/>
      <c r="AH1082" s="16"/>
      <c r="AI1082" s="16"/>
      <c r="AJ1082" s="16"/>
      <c r="AK1082" s="16"/>
      <c r="AL1082" s="16"/>
      <c r="AM1082" s="16"/>
      <c r="AN1082" s="16"/>
    </row>
    <row r="1083" spans="1:40" x14ac:dyDescent="0.25">
      <c r="A1083" s="16"/>
      <c r="B1083" s="27"/>
      <c r="C1083" s="9"/>
      <c r="D1083" s="6"/>
      <c r="E1083" s="1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  <c r="V1083" s="16"/>
      <c r="W1083" s="16"/>
      <c r="X1083" s="16"/>
      <c r="Y1083" s="16"/>
      <c r="Z1083" s="16"/>
      <c r="AA1083" s="16"/>
      <c r="AB1083" s="16"/>
      <c r="AC1083" s="16"/>
      <c r="AD1083" s="16"/>
      <c r="AE1083" s="16"/>
      <c r="AF1083" s="16"/>
      <c r="AG1083" s="16"/>
      <c r="AH1083" s="16"/>
      <c r="AI1083" s="16"/>
      <c r="AJ1083" s="16"/>
      <c r="AK1083" s="16"/>
      <c r="AL1083" s="16"/>
      <c r="AM1083" s="16"/>
      <c r="AN1083" s="16"/>
    </row>
    <row r="1084" spans="1:40" x14ac:dyDescent="0.25">
      <c r="A1084" s="16"/>
      <c r="B1084" s="27"/>
      <c r="C1084" s="9"/>
      <c r="D1084" s="6"/>
      <c r="E1084" s="1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  <c r="V1084" s="16"/>
      <c r="W1084" s="16"/>
      <c r="X1084" s="16"/>
      <c r="Y1084" s="16"/>
      <c r="Z1084" s="16"/>
      <c r="AA1084" s="16"/>
      <c r="AB1084" s="16"/>
      <c r="AC1084" s="16"/>
      <c r="AD1084" s="16"/>
      <c r="AE1084" s="16"/>
      <c r="AF1084" s="16"/>
      <c r="AG1084" s="16"/>
      <c r="AH1084" s="16"/>
      <c r="AI1084" s="16"/>
      <c r="AJ1084" s="16"/>
      <c r="AK1084" s="16"/>
      <c r="AL1084" s="16"/>
      <c r="AM1084" s="16"/>
      <c r="AN1084" s="16"/>
    </row>
    <row r="1085" spans="1:40" x14ac:dyDescent="0.25">
      <c r="A1085" s="16"/>
      <c r="B1085" s="27"/>
      <c r="C1085" s="9"/>
      <c r="D1085" s="6"/>
      <c r="E1085" s="1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  <c r="V1085" s="16"/>
      <c r="W1085" s="16"/>
      <c r="X1085" s="16"/>
      <c r="Y1085" s="16"/>
      <c r="Z1085" s="16"/>
      <c r="AA1085" s="16"/>
      <c r="AB1085" s="16"/>
      <c r="AC1085" s="16"/>
      <c r="AD1085" s="16"/>
      <c r="AE1085" s="16"/>
      <c r="AF1085" s="16"/>
      <c r="AG1085" s="16"/>
      <c r="AH1085" s="16"/>
      <c r="AI1085" s="16"/>
      <c r="AJ1085" s="16"/>
      <c r="AK1085" s="16"/>
      <c r="AL1085" s="16"/>
      <c r="AM1085" s="16"/>
      <c r="AN1085" s="16"/>
    </row>
    <row r="1086" spans="1:40" x14ac:dyDescent="0.25">
      <c r="A1086" s="16"/>
      <c r="B1086" s="27"/>
      <c r="C1086" s="9"/>
      <c r="D1086" s="6"/>
      <c r="E1086" s="1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  <c r="V1086" s="16"/>
      <c r="W1086" s="16"/>
      <c r="X1086" s="16"/>
      <c r="Y1086" s="16"/>
      <c r="Z1086" s="16"/>
      <c r="AA1086" s="16"/>
      <c r="AB1086" s="16"/>
      <c r="AC1086" s="16"/>
      <c r="AD1086" s="16"/>
      <c r="AE1086" s="16"/>
      <c r="AF1086" s="16"/>
      <c r="AG1086" s="16"/>
      <c r="AH1086" s="16"/>
      <c r="AI1086" s="16"/>
      <c r="AJ1086" s="16"/>
      <c r="AK1086" s="16"/>
      <c r="AL1086" s="16"/>
      <c r="AM1086" s="16"/>
      <c r="AN1086" s="16"/>
    </row>
    <row r="1087" spans="1:40" x14ac:dyDescent="0.25">
      <c r="A1087" s="16"/>
      <c r="B1087" s="27"/>
      <c r="C1087" s="9"/>
      <c r="D1087" s="6"/>
      <c r="E1087" s="1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  <c r="V1087" s="16"/>
      <c r="W1087" s="16"/>
      <c r="X1087" s="16"/>
      <c r="Y1087" s="16"/>
      <c r="Z1087" s="16"/>
      <c r="AA1087" s="16"/>
      <c r="AB1087" s="16"/>
      <c r="AC1087" s="16"/>
      <c r="AD1087" s="16"/>
      <c r="AE1087" s="16"/>
      <c r="AF1087" s="16"/>
      <c r="AG1087" s="16"/>
      <c r="AH1087" s="16"/>
      <c r="AI1087" s="16"/>
      <c r="AJ1087" s="16"/>
      <c r="AK1087" s="16"/>
      <c r="AL1087" s="16"/>
      <c r="AM1087" s="16"/>
      <c r="AN1087" s="16"/>
    </row>
    <row r="1088" spans="1:40" x14ac:dyDescent="0.25">
      <c r="A1088" s="16"/>
      <c r="B1088" s="27"/>
      <c r="C1088" s="9"/>
      <c r="D1088" s="6"/>
      <c r="E1088" s="1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  <c r="V1088" s="16"/>
      <c r="W1088" s="16"/>
      <c r="X1088" s="16"/>
      <c r="Y1088" s="16"/>
      <c r="Z1088" s="16"/>
      <c r="AA1088" s="16"/>
      <c r="AB1088" s="16"/>
      <c r="AC1088" s="16"/>
      <c r="AD1088" s="16"/>
      <c r="AE1088" s="16"/>
      <c r="AF1088" s="16"/>
      <c r="AG1088" s="16"/>
      <c r="AH1088" s="16"/>
      <c r="AI1088" s="16"/>
      <c r="AJ1088" s="16"/>
      <c r="AK1088" s="16"/>
      <c r="AL1088" s="16"/>
      <c r="AM1088" s="16"/>
      <c r="AN1088" s="16"/>
    </row>
    <row r="1089" spans="1:40" x14ac:dyDescent="0.25">
      <c r="A1089" s="16"/>
      <c r="B1089" s="27"/>
      <c r="C1089" s="9"/>
      <c r="D1089" s="6"/>
      <c r="E1089" s="1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  <c r="V1089" s="16"/>
      <c r="W1089" s="16"/>
      <c r="X1089" s="16"/>
      <c r="Y1089" s="16"/>
      <c r="Z1089" s="16"/>
      <c r="AA1089" s="16"/>
      <c r="AB1089" s="16"/>
      <c r="AC1089" s="16"/>
      <c r="AD1089" s="16"/>
      <c r="AE1089" s="16"/>
      <c r="AF1089" s="16"/>
      <c r="AG1089" s="16"/>
      <c r="AH1089" s="16"/>
      <c r="AI1089" s="16"/>
      <c r="AJ1089" s="16"/>
      <c r="AK1089" s="16"/>
      <c r="AL1089" s="16"/>
      <c r="AM1089" s="16"/>
      <c r="AN1089" s="16"/>
    </row>
    <row r="1090" spans="1:40" x14ac:dyDescent="0.25">
      <c r="A1090" s="16"/>
      <c r="B1090" s="27"/>
      <c r="C1090" s="9"/>
      <c r="D1090" s="6"/>
      <c r="E1090" s="1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  <c r="V1090" s="16"/>
      <c r="W1090" s="16"/>
      <c r="X1090" s="16"/>
      <c r="Y1090" s="16"/>
      <c r="Z1090" s="16"/>
      <c r="AA1090" s="16"/>
      <c r="AB1090" s="16"/>
      <c r="AC1090" s="16"/>
      <c r="AD1090" s="16"/>
      <c r="AE1090" s="16"/>
      <c r="AF1090" s="16"/>
      <c r="AG1090" s="16"/>
      <c r="AH1090" s="16"/>
      <c r="AI1090" s="16"/>
      <c r="AJ1090" s="16"/>
      <c r="AK1090" s="16"/>
      <c r="AL1090" s="16"/>
      <c r="AM1090" s="16"/>
      <c r="AN1090" s="16"/>
    </row>
    <row r="1091" spans="1:40" x14ac:dyDescent="0.25">
      <c r="A1091" s="16"/>
      <c r="B1091" s="27"/>
      <c r="C1091" s="9"/>
      <c r="D1091" s="6"/>
      <c r="E1091" s="1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  <c r="V1091" s="16"/>
      <c r="W1091" s="16"/>
      <c r="X1091" s="16"/>
      <c r="Y1091" s="16"/>
      <c r="Z1091" s="16"/>
      <c r="AA1091" s="16"/>
      <c r="AB1091" s="16"/>
      <c r="AC1091" s="16"/>
      <c r="AD1091" s="16"/>
      <c r="AE1091" s="16"/>
      <c r="AF1091" s="16"/>
      <c r="AG1091" s="16"/>
      <c r="AH1091" s="16"/>
      <c r="AI1091" s="16"/>
      <c r="AJ1091" s="16"/>
      <c r="AK1091" s="16"/>
      <c r="AL1091" s="16"/>
      <c r="AM1091" s="16"/>
      <c r="AN1091" s="16"/>
    </row>
    <row r="1092" spans="1:40" x14ac:dyDescent="0.25">
      <c r="A1092" s="16"/>
      <c r="B1092" s="27"/>
      <c r="C1092" s="9"/>
      <c r="D1092" s="6"/>
      <c r="E1092" s="1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  <c r="V1092" s="16"/>
      <c r="W1092" s="16"/>
      <c r="X1092" s="16"/>
      <c r="Y1092" s="16"/>
      <c r="Z1092" s="16"/>
      <c r="AA1092" s="16"/>
      <c r="AB1092" s="16"/>
      <c r="AC1092" s="16"/>
      <c r="AD1092" s="16"/>
      <c r="AE1092" s="16"/>
      <c r="AF1092" s="16"/>
      <c r="AG1092" s="16"/>
      <c r="AH1092" s="16"/>
      <c r="AI1092" s="16"/>
      <c r="AJ1092" s="16"/>
      <c r="AK1092" s="16"/>
      <c r="AL1092" s="16"/>
      <c r="AM1092" s="16"/>
      <c r="AN1092" s="16"/>
    </row>
    <row r="1093" spans="1:40" x14ac:dyDescent="0.25">
      <c r="A1093" s="16"/>
      <c r="B1093" s="27"/>
      <c r="C1093" s="9"/>
      <c r="D1093" s="6"/>
      <c r="E1093" s="1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  <c r="V1093" s="16"/>
      <c r="W1093" s="16"/>
      <c r="X1093" s="16"/>
      <c r="Y1093" s="16"/>
      <c r="Z1093" s="16"/>
      <c r="AA1093" s="16"/>
      <c r="AB1093" s="16"/>
      <c r="AC1093" s="16"/>
      <c r="AD1093" s="16"/>
      <c r="AE1093" s="16"/>
      <c r="AF1093" s="16"/>
      <c r="AG1093" s="16"/>
      <c r="AH1093" s="16"/>
      <c r="AI1093" s="16"/>
      <c r="AJ1093" s="16"/>
      <c r="AK1093" s="16"/>
      <c r="AL1093" s="16"/>
      <c r="AM1093" s="16"/>
      <c r="AN1093" s="16"/>
    </row>
    <row r="1094" spans="1:40" x14ac:dyDescent="0.25">
      <c r="A1094" s="16"/>
      <c r="B1094" s="27"/>
      <c r="C1094" s="9"/>
      <c r="D1094" s="6"/>
      <c r="E1094" s="1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  <c r="V1094" s="16"/>
      <c r="W1094" s="16"/>
      <c r="X1094" s="16"/>
      <c r="Y1094" s="16"/>
      <c r="Z1094" s="16"/>
      <c r="AA1094" s="16"/>
      <c r="AB1094" s="16"/>
      <c r="AC1094" s="16"/>
      <c r="AD1094" s="16"/>
      <c r="AE1094" s="16"/>
      <c r="AF1094" s="16"/>
      <c r="AG1094" s="16"/>
      <c r="AH1094" s="16"/>
      <c r="AI1094" s="16"/>
      <c r="AJ1094" s="16"/>
      <c r="AK1094" s="16"/>
      <c r="AL1094" s="16"/>
      <c r="AM1094" s="16"/>
      <c r="AN1094" s="16"/>
    </row>
    <row r="1095" spans="1:40" x14ac:dyDescent="0.25">
      <c r="A1095" s="16"/>
      <c r="B1095" s="27"/>
      <c r="C1095" s="9"/>
      <c r="D1095" s="6"/>
      <c r="E1095" s="1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  <c r="V1095" s="16"/>
      <c r="W1095" s="16"/>
      <c r="X1095" s="16"/>
      <c r="Y1095" s="16"/>
      <c r="Z1095" s="16"/>
      <c r="AA1095" s="16"/>
      <c r="AB1095" s="16"/>
      <c r="AC1095" s="16"/>
      <c r="AD1095" s="16"/>
      <c r="AE1095" s="16"/>
      <c r="AF1095" s="16"/>
      <c r="AG1095" s="16"/>
      <c r="AH1095" s="16"/>
      <c r="AI1095" s="16"/>
      <c r="AJ1095" s="16"/>
      <c r="AK1095" s="16"/>
      <c r="AL1095" s="16"/>
      <c r="AM1095" s="16"/>
      <c r="AN1095" s="16"/>
    </row>
    <row r="1096" spans="1:40" x14ac:dyDescent="0.25">
      <c r="A1096" s="16"/>
      <c r="B1096" s="27"/>
      <c r="C1096" s="9"/>
      <c r="D1096" s="6"/>
      <c r="E1096" s="1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  <c r="V1096" s="16"/>
      <c r="W1096" s="16"/>
      <c r="X1096" s="16"/>
      <c r="Y1096" s="16"/>
      <c r="Z1096" s="16"/>
      <c r="AA1096" s="16"/>
      <c r="AB1096" s="16"/>
      <c r="AC1096" s="16"/>
      <c r="AD1096" s="16"/>
      <c r="AE1096" s="16"/>
      <c r="AF1096" s="16"/>
      <c r="AG1096" s="16"/>
      <c r="AH1096" s="16"/>
      <c r="AI1096" s="16"/>
      <c r="AJ1096" s="16"/>
      <c r="AK1096" s="16"/>
      <c r="AL1096" s="16"/>
      <c r="AM1096" s="16"/>
      <c r="AN1096" s="16"/>
    </row>
    <row r="1097" spans="1:40" x14ac:dyDescent="0.25">
      <c r="A1097" s="16"/>
      <c r="B1097" s="27"/>
      <c r="C1097" s="9"/>
      <c r="D1097" s="6"/>
      <c r="E1097" s="1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  <c r="V1097" s="16"/>
      <c r="W1097" s="16"/>
      <c r="X1097" s="16"/>
      <c r="Y1097" s="16"/>
      <c r="Z1097" s="16"/>
      <c r="AA1097" s="16"/>
      <c r="AB1097" s="16"/>
      <c r="AC1097" s="16"/>
      <c r="AD1097" s="16"/>
      <c r="AE1097" s="16"/>
      <c r="AF1097" s="16"/>
      <c r="AG1097" s="16"/>
      <c r="AH1097" s="16"/>
      <c r="AI1097" s="16"/>
      <c r="AJ1097" s="16"/>
      <c r="AK1097" s="16"/>
      <c r="AL1097" s="16"/>
      <c r="AM1097" s="16"/>
      <c r="AN1097" s="16"/>
    </row>
    <row r="1098" spans="1:40" x14ac:dyDescent="0.25">
      <c r="A1098" s="16"/>
      <c r="B1098" s="27"/>
      <c r="C1098" s="9"/>
      <c r="D1098" s="6"/>
      <c r="E1098" s="1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  <c r="V1098" s="16"/>
      <c r="W1098" s="16"/>
      <c r="X1098" s="16"/>
      <c r="Y1098" s="16"/>
      <c r="Z1098" s="16"/>
      <c r="AA1098" s="16"/>
      <c r="AB1098" s="16"/>
      <c r="AC1098" s="16"/>
      <c r="AD1098" s="16"/>
      <c r="AE1098" s="16"/>
      <c r="AF1098" s="16"/>
      <c r="AG1098" s="16"/>
      <c r="AH1098" s="16"/>
      <c r="AI1098" s="16"/>
      <c r="AJ1098" s="16"/>
      <c r="AK1098" s="16"/>
      <c r="AL1098" s="16"/>
      <c r="AM1098" s="16"/>
      <c r="AN1098" s="16"/>
    </row>
    <row r="1099" spans="1:40" x14ac:dyDescent="0.25">
      <c r="A1099" s="16"/>
      <c r="B1099" s="27"/>
      <c r="C1099" s="9"/>
      <c r="D1099" s="6"/>
      <c r="E1099" s="1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  <c r="V1099" s="16"/>
      <c r="W1099" s="16"/>
      <c r="X1099" s="16"/>
      <c r="Y1099" s="16"/>
      <c r="Z1099" s="16"/>
      <c r="AA1099" s="16"/>
      <c r="AB1099" s="16"/>
      <c r="AC1099" s="16"/>
      <c r="AD1099" s="16"/>
      <c r="AE1099" s="16"/>
      <c r="AF1099" s="16"/>
      <c r="AG1099" s="16"/>
      <c r="AH1099" s="16"/>
      <c r="AI1099" s="16"/>
      <c r="AJ1099" s="16"/>
      <c r="AK1099" s="16"/>
      <c r="AL1099" s="16"/>
      <c r="AM1099" s="16"/>
      <c r="AN1099" s="16"/>
    </row>
    <row r="1100" spans="1:40" x14ac:dyDescent="0.25">
      <c r="A1100" s="16"/>
      <c r="B1100" s="27"/>
      <c r="C1100" s="9"/>
      <c r="D1100" s="6"/>
      <c r="E1100" s="1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  <c r="V1100" s="16"/>
      <c r="W1100" s="16"/>
      <c r="X1100" s="16"/>
      <c r="Y1100" s="16"/>
      <c r="Z1100" s="16"/>
      <c r="AA1100" s="16"/>
      <c r="AB1100" s="16"/>
      <c r="AC1100" s="16"/>
      <c r="AD1100" s="16"/>
      <c r="AE1100" s="16"/>
      <c r="AF1100" s="16"/>
      <c r="AG1100" s="16"/>
      <c r="AH1100" s="16"/>
      <c r="AI1100" s="16"/>
      <c r="AJ1100" s="16"/>
      <c r="AK1100" s="16"/>
      <c r="AL1100" s="16"/>
      <c r="AM1100" s="16"/>
      <c r="AN1100" s="16"/>
    </row>
    <row r="1101" spans="1:40" x14ac:dyDescent="0.25">
      <c r="A1101" s="16"/>
      <c r="B1101" s="27"/>
      <c r="C1101" s="9"/>
      <c r="D1101" s="6"/>
      <c r="E1101" s="1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  <c r="V1101" s="16"/>
      <c r="W1101" s="16"/>
      <c r="X1101" s="16"/>
      <c r="Y1101" s="16"/>
      <c r="Z1101" s="16"/>
      <c r="AA1101" s="16"/>
      <c r="AB1101" s="16"/>
      <c r="AC1101" s="16"/>
      <c r="AD1101" s="16"/>
      <c r="AE1101" s="16"/>
      <c r="AF1101" s="16"/>
      <c r="AG1101" s="16"/>
      <c r="AH1101" s="16"/>
      <c r="AI1101" s="16"/>
      <c r="AJ1101" s="16"/>
      <c r="AK1101" s="16"/>
      <c r="AL1101" s="16"/>
      <c r="AM1101" s="16"/>
      <c r="AN1101" s="16"/>
    </row>
    <row r="1102" spans="1:40" x14ac:dyDescent="0.25">
      <c r="A1102" s="16"/>
      <c r="B1102" s="27"/>
      <c r="C1102" s="9"/>
      <c r="D1102" s="6"/>
      <c r="E1102" s="1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  <c r="V1102" s="16"/>
      <c r="W1102" s="16"/>
      <c r="X1102" s="16"/>
      <c r="Y1102" s="16"/>
      <c r="Z1102" s="16"/>
      <c r="AA1102" s="16"/>
      <c r="AB1102" s="16"/>
      <c r="AC1102" s="16"/>
      <c r="AD1102" s="16"/>
      <c r="AE1102" s="16"/>
      <c r="AF1102" s="16"/>
      <c r="AG1102" s="16"/>
      <c r="AH1102" s="16"/>
      <c r="AI1102" s="16"/>
      <c r="AJ1102" s="16"/>
      <c r="AK1102" s="16"/>
      <c r="AL1102" s="16"/>
      <c r="AM1102" s="16"/>
      <c r="AN1102" s="16"/>
    </row>
    <row r="1103" spans="1:40" x14ac:dyDescent="0.25">
      <c r="A1103" s="16"/>
      <c r="B1103" s="27"/>
      <c r="C1103" s="9"/>
      <c r="D1103" s="6"/>
      <c r="E1103" s="1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  <c r="V1103" s="16"/>
      <c r="W1103" s="16"/>
      <c r="X1103" s="16"/>
      <c r="Y1103" s="16"/>
      <c r="Z1103" s="16"/>
      <c r="AA1103" s="16"/>
      <c r="AB1103" s="16"/>
      <c r="AC1103" s="16"/>
      <c r="AD1103" s="16"/>
      <c r="AE1103" s="16"/>
      <c r="AF1103" s="16"/>
      <c r="AG1103" s="16"/>
      <c r="AH1103" s="16"/>
      <c r="AI1103" s="16"/>
      <c r="AJ1103" s="16"/>
      <c r="AK1103" s="16"/>
      <c r="AL1103" s="16"/>
      <c r="AM1103" s="16"/>
      <c r="AN1103" s="16"/>
    </row>
    <row r="1104" spans="1:40" x14ac:dyDescent="0.25">
      <c r="A1104" s="16"/>
      <c r="B1104" s="27"/>
      <c r="C1104" s="9"/>
      <c r="D1104" s="6"/>
      <c r="E1104" s="1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  <c r="V1104" s="16"/>
      <c r="W1104" s="16"/>
      <c r="X1104" s="16"/>
      <c r="Y1104" s="16"/>
      <c r="Z1104" s="16"/>
      <c r="AA1104" s="16"/>
      <c r="AB1104" s="16"/>
      <c r="AC1104" s="16"/>
      <c r="AD1104" s="16"/>
      <c r="AE1104" s="16"/>
      <c r="AF1104" s="16"/>
      <c r="AG1104" s="16"/>
      <c r="AH1104" s="16"/>
      <c r="AI1104" s="16"/>
      <c r="AJ1104" s="16"/>
      <c r="AK1104" s="16"/>
      <c r="AL1104" s="16"/>
      <c r="AM1104" s="16"/>
      <c r="AN1104" s="16"/>
    </row>
    <row r="1105" spans="1:40" x14ac:dyDescent="0.25">
      <c r="A1105" s="16"/>
      <c r="B1105" s="27"/>
      <c r="C1105" s="9"/>
      <c r="D1105" s="6"/>
      <c r="E1105" s="1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  <c r="V1105" s="16"/>
      <c r="W1105" s="16"/>
      <c r="X1105" s="16"/>
      <c r="Y1105" s="16"/>
      <c r="Z1105" s="16"/>
      <c r="AA1105" s="16"/>
      <c r="AB1105" s="16"/>
      <c r="AC1105" s="16"/>
      <c r="AD1105" s="16"/>
      <c r="AE1105" s="16"/>
      <c r="AF1105" s="16"/>
      <c r="AG1105" s="16"/>
      <c r="AH1105" s="16"/>
      <c r="AI1105" s="16"/>
      <c r="AJ1105" s="16"/>
      <c r="AK1105" s="16"/>
      <c r="AL1105" s="16"/>
      <c r="AM1105" s="16"/>
      <c r="AN1105" s="16"/>
    </row>
    <row r="1106" spans="1:40" x14ac:dyDescent="0.25">
      <c r="A1106" s="16"/>
      <c r="B1106" s="27"/>
      <c r="C1106" s="9"/>
      <c r="D1106" s="6"/>
      <c r="E1106" s="1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  <c r="V1106" s="16"/>
      <c r="W1106" s="16"/>
      <c r="X1106" s="16"/>
      <c r="Y1106" s="16"/>
      <c r="Z1106" s="16"/>
      <c r="AA1106" s="16"/>
      <c r="AB1106" s="16"/>
      <c r="AC1106" s="16"/>
      <c r="AD1106" s="16"/>
      <c r="AE1106" s="16"/>
      <c r="AF1106" s="16"/>
      <c r="AG1106" s="16"/>
      <c r="AH1106" s="16"/>
      <c r="AI1106" s="16"/>
      <c r="AJ1106" s="16"/>
      <c r="AK1106" s="16"/>
      <c r="AL1106" s="16"/>
      <c r="AM1106" s="16"/>
      <c r="AN1106" s="16"/>
    </row>
    <row r="1107" spans="1:40" x14ac:dyDescent="0.25">
      <c r="A1107" s="16"/>
      <c r="B1107" s="27"/>
      <c r="C1107" s="9"/>
      <c r="D1107" s="6"/>
      <c r="E1107" s="1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  <c r="V1107" s="16"/>
      <c r="W1107" s="16"/>
      <c r="X1107" s="16"/>
      <c r="Y1107" s="16"/>
      <c r="Z1107" s="16"/>
      <c r="AA1107" s="16"/>
      <c r="AB1107" s="16"/>
      <c r="AC1107" s="16"/>
      <c r="AD1107" s="16"/>
      <c r="AE1107" s="16"/>
      <c r="AF1107" s="16"/>
      <c r="AG1107" s="16"/>
      <c r="AH1107" s="16"/>
      <c r="AI1107" s="16"/>
      <c r="AJ1107" s="16"/>
      <c r="AK1107" s="16"/>
      <c r="AL1107" s="16"/>
      <c r="AM1107" s="16"/>
      <c r="AN1107" s="16"/>
    </row>
    <row r="1108" spans="1:40" x14ac:dyDescent="0.25">
      <c r="A1108" s="16"/>
      <c r="B1108" s="27"/>
      <c r="C1108" s="9"/>
      <c r="D1108" s="6"/>
      <c r="E1108" s="1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  <c r="V1108" s="16"/>
      <c r="W1108" s="16"/>
      <c r="X1108" s="16"/>
      <c r="Y1108" s="16"/>
      <c r="Z1108" s="16"/>
      <c r="AA1108" s="16"/>
      <c r="AB1108" s="16"/>
      <c r="AC1108" s="16"/>
      <c r="AD1108" s="16"/>
      <c r="AE1108" s="16"/>
      <c r="AF1108" s="16"/>
      <c r="AG1108" s="16"/>
      <c r="AH1108" s="16"/>
      <c r="AI1108" s="16"/>
      <c r="AJ1108" s="16"/>
      <c r="AK1108" s="16"/>
      <c r="AL1108" s="16"/>
      <c r="AM1108" s="16"/>
      <c r="AN1108" s="16"/>
    </row>
    <row r="1109" spans="1:40" x14ac:dyDescent="0.25">
      <c r="A1109" s="16"/>
      <c r="B1109" s="27"/>
      <c r="C1109" s="9"/>
      <c r="D1109" s="6"/>
      <c r="E1109" s="1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  <c r="V1109" s="16"/>
      <c r="W1109" s="16"/>
      <c r="X1109" s="16"/>
      <c r="Y1109" s="16"/>
      <c r="Z1109" s="16"/>
      <c r="AA1109" s="16"/>
      <c r="AB1109" s="16"/>
      <c r="AC1109" s="16"/>
      <c r="AD1109" s="16"/>
      <c r="AE1109" s="16"/>
      <c r="AF1109" s="16"/>
      <c r="AG1109" s="16"/>
      <c r="AH1109" s="16"/>
      <c r="AI1109" s="16"/>
      <c r="AJ1109" s="16"/>
      <c r="AK1109" s="16"/>
      <c r="AL1109" s="16"/>
      <c r="AM1109" s="16"/>
      <c r="AN1109" s="16"/>
    </row>
    <row r="1110" spans="1:40" x14ac:dyDescent="0.25">
      <c r="A1110" s="16"/>
      <c r="B1110" s="27"/>
      <c r="C1110" s="9"/>
      <c r="D1110" s="6"/>
      <c r="E1110" s="1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  <c r="V1110" s="16"/>
      <c r="W1110" s="16"/>
      <c r="X1110" s="16"/>
      <c r="Y1110" s="16"/>
      <c r="Z1110" s="16"/>
      <c r="AA1110" s="16"/>
      <c r="AB1110" s="16"/>
      <c r="AC1110" s="16"/>
      <c r="AD1110" s="16"/>
      <c r="AE1110" s="16"/>
      <c r="AF1110" s="16"/>
      <c r="AG1110" s="16"/>
      <c r="AH1110" s="16"/>
      <c r="AI1110" s="16"/>
      <c r="AJ1110" s="16"/>
      <c r="AK1110" s="16"/>
      <c r="AL1110" s="16"/>
      <c r="AM1110" s="16"/>
      <c r="AN1110" s="16"/>
    </row>
    <row r="1111" spans="1:40" x14ac:dyDescent="0.25">
      <c r="A1111" s="16"/>
      <c r="B1111" s="27"/>
      <c r="C1111" s="9"/>
      <c r="D1111" s="6"/>
      <c r="E1111" s="1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  <c r="V1111" s="16"/>
      <c r="W1111" s="16"/>
      <c r="X1111" s="16"/>
      <c r="Y1111" s="16"/>
      <c r="Z1111" s="16"/>
      <c r="AA1111" s="16"/>
      <c r="AB1111" s="16"/>
      <c r="AC1111" s="16"/>
      <c r="AD1111" s="16"/>
      <c r="AE1111" s="16"/>
      <c r="AF1111" s="16"/>
      <c r="AG1111" s="16"/>
      <c r="AH1111" s="16"/>
      <c r="AI1111" s="16"/>
      <c r="AJ1111" s="16"/>
      <c r="AK1111" s="16"/>
      <c r="AL1111" s="16"/>
      <c r="AM1111" s="16"/>
      <c r="AN1111" s="16"/>
    </row>
    <row r="1112" spans="1:40" x14ac:dyDescent="0.25">
      <c r="A1112" s="16"/>
      <c r="B1112" s="27"/>
      <c r="C1112" s="9"/>
      <c r="D1112" s="6"/>
      <c r="E1112" s="1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  <c r="V1112" s="16"/>
      <c r="W1112" s="16"/>
      <c r="X1112" s="16"/>
      <c r="Y1112" s="16"/>
      <c r="Z1112" s="16"/>
      <c r="AA1112" s="16"/>
      <c r="AB1112" s="16"/>
      <c r="AC1112" s="16"/>
      <c r="AD1112" s="16"/>
      <c r="AE1112" s="16"/>
      <c r="AF1112" s="16"/>
      <c r="AG1112" s="16"/>
      <c r="AH1112" s="16"/>
      <c r="AI1112" s="16"/>
      <c r="AJ1112" s="16"/>
      <c r="AK1112" s="16"/>
      <c r="AL1112" s="16"/>
      <c r="AM1112" s="16"/>
      <c r="AN1112" s="16"/>
    </row>
    <row r="1113" spans="1:40" x14ac:dyDescent="0.25">
      <c r="A1113" s="16"/>
      <c r="B1113" s="27"/>
      <c r="C1113" s="9"/>
      <c r="D1113" s="6"/>
      <c r="E1113" s="1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  <c r="V1113" s="16"/>
      <c r="W1113" s="16"/>
      <c r="X1113" s="16"/>
      <c r="Y1113" s="16"/>
      <c r="Z1113" s="16"/>
      <c r="AA1113" s="16"/>
      <c r="AB1113" s="16"/>
      <c r="AC1113" s="16"/>
      <c r="AD1113" s="16"/>
      <c r="AE1113" s="16"/>
      <c r="AF1113" s="16"/>
      <c r="AG1113" s="16"/>
      <c r="AH1113" s="16"/>
      <c r="AI1113" s="16"/>
      <c r="AJ1113" s="16"/>
      <c r="AK1113" s="16"/>
      <c r="AL1113" s="16"/>
      <c r="AM1113" s="16"/>
      <c r="AN1113" s="16"/>
    </row>
    <row r="1114" spans="1:40" x14ac:dyDescent="0.25">
      <c r="A1114" s="16"/>
      <c r="B1114" s="27"/>
      <c r="C1114" s="9"/>
      <c r="D1114" s="6"/>
      <c r="E1114" s="1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  <c r="V1114" s="16"/>
      <c r="W1114" s="16"/>
      <c r="X1114" s="16"/>
      <c r="Y1114" s="16"/>
      <c r="Z1114" s="16"/>
      <c r="AA1114" s="16"/>
      <c r="AB1114" s="16"/>
      <c r="AC1114" s="16"/>
      <c r="AD1114" s="16"/>
      <c r="AE1114" s="16"/>
      <c r="AF1114" s="16"/>
      <c r="AG1114" s="16"/>
      <c r="AH1114" s="16"/>
      <c r="AI1114" s="16"/>
      <c r="AJ1114" s="16"/>
      <c r="AK1114" s="16"/>
      <c r="AL1114" s="16"/>
      <c r="AM1114" s="16"/>
      <c r="AN1114" s="16"/>
    </row>
    <row r="1115" spans="1:40" x14ac:dyDescent="0.25">
      <c r="A1115" s="16"/>
      <c r="B1115" s="27"/>
      <c r="C1115" s="9"/>
      <c r="D1115" s="6"/>
      <c r="E1115" s="1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  <c r="V1115" s="16"/>
      <c r="W1115" s="16"/>
      <c r="X1115" s="16"/>
      <c r="Y1115" s="16"/>
      <c r="Z1115" s="16"/>
      <c r="AA1115" s="16"/>
      <c r="AB1115" s="16"/>
      <c r="AC1115" s="16"/>
      <c r="AD1115" s="16"/>
      <c r="AE1115" s="16"/>
      <c r="AF1115" s="16"/>
      <c r="AG1115" s="16"/>
      <c r="AH1115" s="16"/>
      <c r="AI1115" s="16"/>
      <c r="AJ1115" s="16"/>
      <c r="AK1115" s="16"/>
      <c r="AL1115" s="16"/>
      <c r="AM1115" s="16"/>
      <c r="AN1115" s="16"/>
    </row>
    <row r="1116" spans="1:40" x14ac:dyDescent="0.25">
      <c r="A1116" s="16"/>
      <c r="B1116" s="27"/>
      <c r="C1116" s="9"/>
      <c r="D1116" s="6"/>
      <c r="E1116" s="1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  <c r="V1116" s="16"/>
      <c r="W1116" s="16"/>
      <c r="X1116" s="16"/>
      <c r="Y1116" s="16"/>
      <c r="Z1116" s="16"/>
      <c r="AA1116" s="16"/>
      <c r="AB1116" s="16"/>
      <c r="AC1116" s="16"/>
      <c r="AD1116" s="16"/>
      <c r="AE1116" s="16"/>
      <c r="AF1116" s="16"/>
      <c r="AG1116" s="16"/>
      <c r="AH1116" s="16"/>
      <c r="AI1116" s="16"/>
      <c r="AJ1116" s="16"/>
      <c r="AK1116" s="16"/>
      <c r="AL1116" s="16"/>
      <c r="AM1116" s="16"/>
      <c r="AN1116" s="16"/>
    </row>
    <row r="1117" spans="1:40" x14ac:dyDescent="0.25">
      <c r="A1117" s="16"/>
      <c r="B1117" s="27"/>
      <c r="C1117" s="9"/>
      <c r="D1117" s="6"/>
      <c r="E1117" s="1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  <c r="V1117" s="16"/>
      <c r="W1117" s="16"/>
      <c r="X1117" s="16"/>
      <c r="Y1117" s="16"/>
      <c r="Z1117" s="16"/>
      <c r="AA1117" s="16"/>
      <c r="AB1117" s="16"/>
      <c r="AC1117" s="16"/>
      <c r="AD1117" s="16"/>
      <c r="AE1117" s="16"/>
      <c r="AF1117" s="16"/>
      <c r="AG1117" s="16"/>
      <c r="AH1117" s="16"/>
      <c r="AI1117" s="16"/>
      <c r="AJ1117" s="16"/>
      <c r="AK1117" s="16"/>
      <c r="AL1117" s="16"/>
      <c r="AM1117" s="16"/>
      <c r="AN1117" s="16"/>
    </row>
    <row r="1118" spans="1:40" x14ac:dyDescent="0.25">
      <c r="A1118" s="16"/>
      <c r="B1118" s="27"/>
      <c r="C1118" s="9"/>
      <c r="D1118" s="6"/>
      <c r="E1118" s="1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  <c r="V1118" s="16"/>
      <c r="W1118" s="16"/>
      <c r="X1118" s="16"/>
      <c r="Y1118" s="16"/>
      <c r="Z1118" s="16"/>
      <c r="AA1118" s="16"/>
      <c r="AB1118" s="16"/>
      <c r="AC1118" s="16"/>
      <c r="AD1118" s="16"/>
      <c r="AE1118" s="16"/>
      <c r="AF1118" s="16"/>
      <c r="AG1118" s="16"/>
      <c r="AH1118" s="16"/>
      <c r="AI1118" s="16"/>
      <c r="AJ1118" s="16"/>
      <c r="AK1118" s="16"/>
      <c r="AL1118" s="16"/>
      <c r="AM1118" s="16"/>
      <c r="AN1118" s="16"/>
    </row>
    <row r="1119" spans="1:40" x14ac:dyDescent="0.25">
      <c r="A1119" s="16"/>
      <c r="B1119" s="27"/>
      <c r="C1119" s="9"/>
      <c r="D1119" s="6"/>
      <c r="E1119" s="1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  <c r="V1119" s="16"/>
      <c r="W1119" s="16"/>
      <c r="X1119" s="16"/>
      <c r="Y1119" s="16"/>
      <c r="Z1119" s="16"/>
      <c r="AA1119" s="16"/>
      <c r="AB1119" s="16"/>
      <c r="AC1119" s="16"/>
      <c r="AD1119" s="16"/>
      <c r="AE1119" s="16"/>
      <c r="AF1119" s="16"/>
      <c r="AG1119" s="16"/>
      <c r="AH1119" s="16"/>
      <c r="AI1119" s="16"/>
      <c r="AJ1119" s="16"/>
      <c r="AK1119" s="16"/>
      <c r="AL1119" s="16"/>
      <c r="AM1119" s="16"/>
      <c r="AN1119" s="16"/>
    </row>
    <row r="1120" spans="1:40" x14ac:dyDescent="0.25">
      <c r="A1120" s="16"/>
      <c r="B1120" s="27"/>
      <c r="C1120" s="9"/>
      <c r="D1120" s="6"/>
      <c r="E1120" s="1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  <c r="V1120" s="16"/>
      <c r="W1120" s="16"/>
      <c r="X1120" s="16"/>
      <c r="Y1120" s="16"/>
      <c r="Z1120" s="16"/>
      <c r="AA1120" s="16"/>
      <c r="AB1120" s="16"/>
      <c r="AC1120" s="16"/>
      <c r="AD1120" s="16"/>
      <c r="AE1120" s="16"/>
      <c r="AF1120" s="16"/>
      <c r="AG1120" s="16"/>
      <c r="AH1120" s="16"/>
      <c r="AI1120" s="16"/>
      <c r="AJ1120" s="16"/>
      <c r="AK1120" s="16"/>
      <c r="AL1120" s="16"/>
      <c r="AM1120" s="16"/>
      <c r="AN1120" s="16"/>
    </row>
    <row r="1121" spans="1:40" x14ac:dyDescent="0.25">
      <c r="A1121" s="16"/>
      <c r="B1121" s="27"/>
      <c r="C1121" s="9"/>
      <c r="D1121" s="6"/>
      <c r="E1121" s="1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  <c r="V1121" s="16"/>
      <c r="W1121" s="16"/>
      <c r="X1121" s="16"/>
      <c r="Y1121" s="16"/>
      <c r="Z1121" s="16"/>
      <c r="AA1121" s="16"/>
      <c r="AB1121" s="16"/>
      <c r="AC1121" s="16"/>
      <c r="AD1121" s="16"/>
      <c r="AE1121" s="16"/>
      <c r="AF1121" s="16"/>
      <c r="AG1121" s="16"/>
      <c r="AH1121" s="16"/>
      <c r="AI1121" s="16"/>
      <c r="AJ1121" s="16"/>
      <c r="AK1121" s="16"/>
      <c r="AL1121" s="16"/>
      <c r="AM1121" s="16"/>
      <c r="AN1121" s="16"/>
    </row>
    <row r="1122" spans="1:40" x14ac:dyDescent="0.25">
      <c r="A1122" s="16"/>
      <c r="B1122" s="27"/>
      <c r="C1122" s="9"/>
      <c r="D1122" s="6"/>
      <c r="E1122" s="1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  <c r="V1122" s="16"/>
      <c r="W1122" s="16"/>
      <c r="X1122" s="16"/>
      <c r="Y1122" s="16"/>
      <c r="Z1122" s="16"/>
      <c r="AA1122" s="16"/>
      <c r="AB1122" s="16"/>
      <c r="AC1122" s="16"/>
      <c r="AD1122" s="16"/>
      <c r="AE1122" s="16"/>
      <c r="AF1122" s="16"/>
      <c r="AG1122" s="16"/>
      <c r="AH1122" s="16"/>
      <c r="AI1122" s="16"/>
      <c r="AJ1122" s="16"/>
      <c r="AK1122" s="16"/>
      <c r="AL1122" s="16"/>
      <c r="AM1122" s="16"/>
      <c r="AN1122" s="16"/>
    </row>
    <row r="1123" spans="1:40" x14ac:dyDescent="0.25">
      <c r="A1123" s="16"/>
      <c r="B1123" s="27"/>
      <c r="C1123" s="9"/>
      <c r="D1123" s="6"/>
      <c r="E1123" s="1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  <c r="V1123" s="16"/>
      <c r="W1123" s="16"/>
      <c r="X1123" s="16"/>
      <c r="Y1123" s="16"/>
      <c r="Z1123" s="16"/>
      <c r="AA1123" s="16"/>
      <c r="AB1123" s="16"/>
      <c r="AC1123" s="16"/>
      <c r="AD1123" s="16"/>
      <c r="AE1123" s="16"/>
      <c r="AF1123" s="16"/>
      <c r="AG1123" s="16"/>
      <c r="AH1123" s="16"/>
      <c r="AI1123" s="16"/>
      <c r="AJ1123" s="16"/>
      <c r="AK1123" s="16"/>
      <c r="AL1123" s="16"/>
      <c r="AM1123" s="16"/>
      <c r="AN1123" s="16"/>
    </row>
    <row r="1124" spans="1:40" x14ac:dyDescent="0.25">
      <c r="A1124" s="16"/>
      <c r="B1124" s="27"/>
      <c r="C1124" s="9"/>
      <c r="D1124" s="6"/>
      <c r="E1124" s="1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  <c r="V1124" s="16"/>
      <c r="W1124" s="16"/>
      <c r="X1124" s="16"/>
      <c r="Y1124" s="16"/>
      <c r="Z1124" s="16"/>
      <c r="AA1124" s="16"/>
      <c r="AB1124" s="16"/>
      <c r="AC1124" s="16"/>
      <c r="AD1124" s="16"/>
      <c r="AE1124" s="16"/>
      <c r="AF1124" s="16"/>
      <c r="AG1124" s="16"/>
      <c r="AH1124" s="16"/>
      <c r="AI1124" s="16"/>
      <c r="AJ1124" s="16"/>
      <c r="AK1124" s="16"/>
      <c r="AL1124" s="16"/>
      <c r="AM1124" s="16"/>
      <c r="AN1124" s="16"/>
    </row>
    <row r="1125" spans="1:40" x14ac:dyDescent="0.25">
      <c r="A1125" s="16"/>
      <c r="B1125" s="27"/>
      <c r="C1125" s="9"/>
      <c r="D1125" s="6"/>
      <c r="E1125" s="1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  <c r="V1125" s="16"/>
      <c r="W1125" s="16"/>
      <c r="X1125" s="16"/>
      <c r="Y1125" s="16"/>
      <c r="Z1125" s="16"/>
      <c r="AA1125" s="16"/>
      <c r="AB1125" s="16"/>
      <c r="AC1125" s="16"/>
      <c r="AD1125" s="16"/>
      <c r="AE1125" s="16"/>
      <c r="AF1125" s="16"/>
      <c r="AG1125" s="16"/>
      <c r="AH1125" s="16"/>
      <c r="AI1125" s="16"/>
      <c r="AJ1125" s="16"/>
      <c r="AK1125" s="16"/>
      <c r="AL1125" s="16"/>
      <c r="AM1125" s="16"/>
      <c r="AN1125" s="16"/>
    </row>
    <row r="1126" spans="1:40" x14ac:dyDescent="0.25">
      <c r="A1126" s="16"/>
      <c r="B1126" s="27"/>
      <c r="C1126" s="9"/>
      <c r="D1126" s="6"/>
      <c r="E1126" s="1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  <c r="V1126" s="16"/>
      <c r="W1126" s="16"/>
      <c r="X1126" s="16"/>
      <c r="Y1126" s="16"/>
      <c r="Z1126" s="16"/>
      <c r="AA1126" s="16"/>
      <c r="AB1126" s="16"/>
      <c r="AC1126" s="16"/>
      <c r="AD1126" s="16"/>
      <c r="AE1126" s="16"/>
      <c r="AF1126" s="16"/>
      <c r="AG1126" s="16"/>
      <c r="AH1126" s="16"/>
      <c r="AI1126" s="16"/>
      <c r="AJ1126" s="16"/>
      <c r="AK1126" s="16"/>
      <c r="AL1126" s="16"/>
      <c r="AM1126" s="16"/>
      <c r="AN1126" s="16"/>
    </row>
    <row r="1127" spans="1:40" x14ac:dyDescent="0.25">
      <c r="A1127" s="16"/>
      <c r="B1127" s="27"/>
      <c r="C1127" s="9"/>
      <c r="D1127" s="6"/>
      <c r="E1127" s="1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  <c r="V1127" s="16"/>
      <c r="W1127" s="16"/>
      <c r="X1127" s="16"/>
      <c r="Y1127" s="16"/>
      <c r="Z1127" s="16"/>
      <c r="AA1127" s="16"/>
      <c r="AB1127" s="16"/>
      <c r="AC1127" s="16"/>
      <c r="AD1127" s="16"/>
      <c r="AE1127" s="16"/>
      <c r="AF1127" s="16"/>
      <c r="AG1127" s="16"/>
      <c r="AH1127" s="16"/>
      <c r="AI1127" s="16"/>
      <c r="AJ1127" s="16"/>
      <c r="AK1127" s="16"/>
      <c r="AL1127" s="16"/>
      <c r="AM1127" s="16"/>
      <c r="AN1127" s="16"/>
    </row>
    <row r="1128" spans="1:40" x14ac:dyDescent="0.25">
      <c r="A1128" s="16"/>
      <c r="B1128" s="27"/>
      <c r="C1128" s="9"/>
      <c r="D1128" s="6"/>
      <c r="E1128" s="1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  <c r="V1128" s="16"/>
      <c r="W1128" s="16"/>
      <c r="X1128" s="16"/>
      <c r="Y1128" s="16"/>
      <c r="Z1128" s="16"/>
      <c r="AA1128" s="16"/>
      <c r="AB1128" s="16"/>
      <c r="AC1128" s="16"/>
      <c r="AD1128" s="16"/>
      <c r="AE1128" s="16"/>
      <c r="AF1128" s="16"/>
      <c r="AG1128" s="16"/>
      <c r="AH1128" s="16"/>
      <c r="AI1128" s="16"/>
      <c r="AJ1128" s="16"/>
      <c r="AK1128" s="16"/>
      <c r="AL1128" s="16"/>
      <c r="AM1128" s="16"/>
      <c r="AN1128" s="16"/>
    </row>
    <row r="1129" spans="1:40" x14ac:dyDescent="0.25">
      <c r="A1129" s="16"/>
      <c r="B1129" s="27"/>
      <c r="C1129" s="9"/>
      <c r="D1129" s="6"/>
      <c r="E1129" s="1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  <c r="V1129" s="16"/>
      <c r="W1129" s="16"/>
      <c r="X1129" s="16"/>
      <c r="Y1129" s="16"/>
      <c r="Z1129" s="16"/>
      <c r="AA1129" s="16"/>
      <c r="AB1129" s="16"/>
      <c r="AC1129" s="16"/>
      <c r="AD1129" s="16"/>
      <c r="AE1129" s="16"/>
      <c r="AF1129" s="16"/>
      <c r="AG1129" s="16"/>
      <c r="AH1129" s="16"/>
      <c r="AI1129" s="16"/>
      <c r="AJ1129" s="16"/>
      <c r="AK1129" s="16"/>
      <c r="AL1129" s="16"/>
      <c r="AM1129" s="16"/>
      <c r="AN1129" s="16"/>
    </row>
    <row r="1130" spans="1:40" x14ac:dyDescent="0.25">
      <c r="A1130" s="16"/>
      <c r="B1130" s="27"/>
      <c r="C1130" s="9"/>
      <c r="D1130" s="6"/>
      <c r="E1130" s="1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  <c r="V1130" s="16"/>
      <c r="W1130" s="16"/>
      <c r="X1130" s="16"/>
      <c r="Y1130" s="16"/>
      <c r="Z1130" s="16"/>
      <c r="AA1130" s="16"/>
      <c r="AB1130" s="16"/>
      <c r="AC1130" s="16"/>
      <c r="AD1130" s="16"/>
      <c r="AE1130" s="16"/>
      <c r="AF1130" s="16"/>
      <c r="AG1130" s="16"/>
      <c r="AH1130" s="16"/>
      <c r="AI1130" s="16"/>
      <c r="AJ1130" s="16"/>
      <c r="AK1130" s="16"/>
      <c r="AL1130" s="16"/>
      <c r="AM1130" s="16"/>
      <c r="AN1130" s="16"/>
    </row>
    <row r="1131" spans="1:40" x14ac:dyDescent="0.25">
      <c r="A1131" s="16"/>
      <c r="B1131" s="27"/>
      <c r="C1131" s="9"/>
      <c r="D1131" s="6"/>
      <c r="E1131" s="1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  <c r="V1131" s="16"/>
      <c r="W1131" s="16"/>
      <c r="X1131" s="16"/>
      <c r="Y1131" s="16"/>
      <c r="Z1131" s="16"/>
      <c r="AA1131" s="16"/>
      <c r="AB1131" s="16"/>
      <c r="AC1131" s="16"/>
      <c r="AD1131" s="16"/>
      <c r="AE1131" s="16"/>
      <c r="AF1131" s="16"/>
      <c r="AG1131" s="16"/>
      <c r="AH1131" s="16"/>
      <c r="AI1131" s="16"/>
      <c r="AJ1131" s="16"/>
      <c r="AK1131" s="16"/>
      <c r="AL1131" s="16"/>
      <c r="AM1131" s="16"/>
      <c r="AN1131" s="16"/>
    </row>
    <row r="1132" spans="1:40" x14ac:dyDescent="0.25">
      <c r="A1132" s="16"/>
      <c r="B1132" s="27"/>
      <c r="C1132" s="9"/>
      <c r="D1132" s="6"/>
      <c r="E1132" s="1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  <c r="V1132" s="16"/>
      <c r="W1132" s="16"/>
      <c r="X1132" s="16"/>
      <c r="Y1132" s="16"/>
      <c r="Z1132" s="16"/>
      <c r="AA1132" s="16"/>
      <c r="AB1132" s="16"/>
      <c r="AC1132" s="16"/>
      <c r="AD1132" s="16"/>
      <c r="AE1132" s="16"/>
      <c r="AF1132" s="16"/>
      <c r="AG1132" s="16"/>
      <c r="AH1132" s="16"/>
      <c r="AI1132" s="16"/>
      <c r="AJ1132" s="16"/>
      <c r="AK1132" s="16"/>
      <c r="AL1132" s="16"/>
      <c r="AM1132" s="16"/>
      <c r="AN1132" s="16"/>
    </row>
    <row r="1133" spans="1:40" x14ac:dyDescent="0.25">
      <c r="A1133" s="16"/>
      <c r="B1133" s="27"/>
      <c r="C1133" s="9"/>
      <c r="D1133" s="6"/>
      <c r="E1133" s="1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  <c r="V1133" s="16"/>
      <c r="W1133" s="16"/>
      <c r="X1133" s="16"/>
      <c r="Y1133" s="16"/>
      <c r="Z1133" s="16"/>
      <c r="AA1133" s="16"/>
      <c r="AB1133" s="16"/>
      <c r="AC1133" s="16"/>
      <c r="AD1133" s="16"/>
      <c r="AE1133" s="16"/>
      <c r="AF1133" s="16"/>
      <c r="AG1133" s="16"/>
      <c r="AH1133" s="16"/>
      <c r="AI1133" s="16"/>
      <c r="AJ1133" s="16"/>
      <c r="AK1133" s="16"/>
      <c r="AL1133" s="16"/>
      <c r="AM1133" s="16"/>
      <c r="AN1133" s="16"/>
    </row>
    <row r="1134" spans="1:40" x14ac:dyDescent="0.25">
      <c r="A1134" s="16"/>
      <c r="B1134" s="27"/>
      <c r="C1134" s="9"/>
      <c r="D1134" s="6"/>
      <c r="E1134" s="1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  <c r="V1134" s="16"/>
      <c r="W1134" s="16"/>
      <c r="X1134" s="16"/>
      <c r="Y1134" s="16"/>
      <c r="Z1134" s="16"/>
      <c r="AA1134" s="16"/>
      <c r="AB1134" s="16"/>
      <c r="AC1134" s="16"/>
      <c r="AD1134" s="16"/>
      <c r="AE1134" s="16"/>
      <c r="AF1134" s="16"/>
      <c r="AG1134" s="16"/>
      <c r="AH1134" s="16"/>
      <c r="AI1134" s="16"/>
      <c r="AJ1134" s="16"/>
      <c r="AK1134" s="16"/>
      <c r="AL1134" s="16"/>
      <c r="AM1134" s="16"/>
      <c r="AN1134" s="16"/>
    </row>
    <row r="1135" spans="1:40" x14ac:dyDescent="0.25">
      <c r="A1135" s="16"/>
      <c r="B1135" s="27"/>
      <c r="C1135" s="9"/>
      <c r="D1135" s="6"/>
      <c r="E1135" s="1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  <c r="V1135" s="16"/>
      <c r="W1135" s="16"/>
      <c r="X1135" s="16"/>
      <c r="Y1135" s="16"/>
      <c r="Z1135" s="16"/>
      <c r="AA1135" s="16"/>
      <c r="AB1135" s="16"/>
      <c r="AC1135" s="16"/>
      <c r="AD1135" s="16"/>
      <c r="AE1135" s="16"/>
      <c r="AF1135" s="16"/>
      <c r="AG1135" s="16"/>
      <c r="AH1135" s="16"/>
      <c r="AI1135" s="16"/>
      <c r="AJ1135" s="16"/>
      <c r="AK1135" s="16"/>
      <c r="AL1135" s="16"/>
      <c r="AM1135" s="16"/>
      <c r="AN1135" s="16"/>
    </row>
    <row r="1136" spans="1:40" x14ac:dyDescent="0.25">
      <c r="A1136" s="16"/>
      <c r="B1136" s="27"/>
      <c r="C1136" s="9"/>
      <c r="D1136" s="6"/>
      <c r="E1136" s="1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  <c r="V1136" s="16"/>
      <c r="W1136" s="16"/>
      <c r="X1136" s="16"/>
      <c r="Y1136" s="16"/>
      <c r="Z1136" s="16"/>
      <c r="AA1136" s="16"/>
      <c r="AB1136" s="16"/>
      <c r="AC1136" s="16"/>
      <c r="AD1136" s="16"/>
      <c r="AE1136" s="16"/>
      <c r="AF1136" s="16"/>
      <c r="AG1136" s="16"/>
      <c r="AH1136" s="16"/>
      <c r="AI1136" s="16"/>
      <c r="AJ1136" s="16"/>
      <c r="AK1136" s="16"/>
      <c r="AL1136" s="16"/>
      <c r="AM1136" s="16"/>
      <c r="AN1136" s="16"/>
    </row>
    <row r="1137" spans="1:40" x14ac:dyDescent="0.25">
      <c r="A1137" s="16"/>
      <c r="B1137" s="27"/>
      <c r="C1137" s="9"/>
      <c r="D1137" s="6"/>
      <c r="E1137" s="1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  <c r="V1137" s="16"/>
      <c r="W1137" s="16"/>
      <c r="X1137" s="16"/>
      <c r="Y1137" s="16"/>
      <c r="Z1137" s="16"/>
      <c r="AA1137" s="16"/>
      <c r="AB1137" s="16"/>
      <c r="AC1137" s="16"/>
      <c r="AD1137" s="16"/>
      <c r="AE1137" s="16"/>
      <c r="AF1137" s="16"/>
      <c r="AG1137" s="16"/>
      <c r="AH1137" s="16"/>
      <c r="AI1137" s="16"/>
      <c r="AJ1137" s="16"/>
      <c r="AK1137" s="16"/>
      <c r="AL1137" s="16"/>
      <c r="AM1137" s="16"/>
      <c r="AN1137" s="16"/>
    </row>
    <row r="1138" spans="1:40" x14ac:dyDescent="0.25">
      <c r="A1138" s="16"/>
      <c r="B1138" s="27"/>
      <c r="C1138" s="9"/>
      <c r="D1138" s="6"/>
      <c r="E1138" s="1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  <c r="V1138" s="16"/>
      <c r="W1138" s="16"/>
      <c r="X1138" s="16"/>
      <c r="Y1138" s="16"/>
      <c r="Z1138" s="16"/>
      <c r="AA1138" s="16"/>
      <c r="AB1138" s="16"/>
      <c r="AC1138" s="16"/>
      <c r="AD1138" s="16"/>
      <c r="AE1138" s="16"/>
      <c r="AF1138" s="16"/>
      <c r="AG1138" s="16"/>
      <c r="AH1138" s="16"/>
      <c r="AI1138" s="16"/>
      <c r="AJ1138" s="16"/>
      <c r="AK1138" s="16"/>
      <c r="AL1138" s="16"/>
      <c r="AM1138" s="16"/>
      <c r="AN1138" s="16"/>
    </row>
    <row r="1139" spans="1:40" x14ac:dyDescent="0.25">
      <c r="A1139" s="16"/>
      <c r="B1139" s="27"/>
      <c r="C1139" s="9"/>
      <c r="D1139" s="6"/>
      <c r="E1139" s="1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  <c r="V1139" s="16"/>
      <c r="W1139" s="16"/>
      <c r="X1139" s="16"/>
      <c r="Y1139" s="16"/>
      <c r="Z1139" s="16"/>
      <c r="AA1139" s="16"/>
      <c r="AB1139" s="16"/>
      <c r="AC1139" s="16"/>
      <c r="AD1139" s="16"/>
      <c r="AE1139" s="16"/>
      <c r="AF1139" s="16"/>
      <c r="AG1139" s="16"/>
      <c r="AH1139" s="16"/>
      <c r="AI1139" s="16"/>
      <c r="AJ1139" s="16"/>
      <c r="AK1139" s="16"/>
      <c r="AL1139" s="16"/>
      <c r="AM1139" s="16"/>
      <c r="AN1139" s="16"/>
    </row>
    <row r="1140" spans="1:40" x14ac:dyDescent="0.25">
      <c r="A1140" s="16"/>
      <c r="B1140" s="27"/>
      <c r="C1140" s="9"/>
      <c r="D1140" s="6"/>
      <c r="E1140" s="1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  <c r="V1140" s="16"/>
      <c r="W1140" s="16"/>
      <c r="X1140" s="16"/>
      <c r="Y1140" s="16"/>
      <c r="Z1140" s="16"/>
      <c r="AA1140" s="16"/>
      <c r="AB1140" s="16"/>
      <c r="AC1140" s="16"/>
      <c r="AD1140" s="16"/>
      <c r="AE1140" s="16"/>
      <c r="AF1140" s="16"/>
      <c r="AG1140" s="16"/>
      <c r="AH1140" s="16"/>
      <c r="AI1140" s="16"/>
      <c r="AJ1140" s="16"/>
      <c r="AK1140" s="16"/>
      <c r="AL1140" s="16"/>
      <c r="AM1140" s="16"/>
      <c r="AN1140" s="16"/>
    </row>
    <row r="1141" spans="1:40" x14ac:dyDescent="0.25">
      <c r="A1141" s="16"/>
      <c r="B1141" s="27"/>
      <c r="C1141" s="9"/>
      <c r="D1141" s="6"/>
      <c r="E1141" s="1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  <c r="V1141" s="16"/>
      <c r="W1141" s="16"/>
      <c r="X1141" s="16"/>
      <c r="Y1141" s="16"/>
      <c r="Z1141" s="16"/>
      <c r="AA1141" s="16"/>
      <c r="AB1141" s="16"/>
      <c r="AC1141" s="16"/>
      <c r="AD1141" s="16"/>
      <c r="AE1141" s="16"/>
      <c r="AF1141" s="16"/>
      <c r="AG1141" s="16"/>
      <c r="AH1141" s="16"/>
      <c r="AI1141" s="16"/>
      <c r="AJ1141" s="16"/>
      <c r="AK1141" s="16"/>
      <c r="AL1141" s="16"/>
      <c r="AM1141" s="16"/>
      <c r="AN1141" s="16"/>
    </row>
    <row r="1142" spans="1:40" x14ac:dyDescent="0.25">
      <c r="A1142" s="16"/>
      <c r="B1142" s="27"/>
      <c r="C1142" s="9"/>
      <c r="D1142" s="6"/>
      <c r="E1142" s="1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  <c r="V1142" s="16"/>
      <c r="W1142" s="16"/>
      <c r="X1142" s="16"/>
      <c r="Y1142" s="16"/>
      <c r="Z1142" s="16"/>
      <c r="AA1142" s="16"/>
      <c r="AB1142" s="16"/>
      <c r="AC1142" s="16"/>
      <c r="AD1142" s="16"/>
      <c r="AE1142" s="16"/>
      <c r="AF1142" s="16"/>
      <c r="AG1142" s="16"/>
      <c r="AH1142" s="16"/>
      <c r="AI1142" s="16"/>
      <c r="AJ1142" s="16"/>
      <c r="AK1142" s="16"/>
      <c r="AL1142" s="16"/>
      <c r="AM1142" s="16"/>
      <c r="AN1142" s="16"/>
    </row>
    <row r="1143" spans="1:40" x14ac:dyDescent="0.25">
      <c r="A1143" s="16"/>
      <c r="B1143" s="27"/>
      <c r="C1143" s="9"/>
      <c r="D1143" s="6"/>
      <c r="E1143" s="1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  <c r="V1143" s="16"/>
      <c r="W1143" s="16"/>
      <c r="X1143" s="16"/>
      <c r="Y1143" s="16"/>
      <c r="Z1143" s="16"/>
      <c r="AA1143" s="16"/>
      <c r="AB1143" s="16"/>
      <c r="AC1143" s="16"/>
      <c r="AD1143" s="16"/>
      <c r="AE1143" s="16"/>
      <c r="AF1143" s="16"/>
      <c r="AG1143" s="16"/>
      <c r="AH1143" s="16"/>
      <c r="AI1143" s="16"/>
      <c r="AJ1143" s="16"/>
      <c r="AK1143" s="16"/>
      <c r="AL1143" s="16"/>
      <c r="AM1143" s="16"/>
      <c r="AN1143" s="16"/>
    </row>
    <row r="1144" spans="1:40" x14ac:dyDescent="0.25">
      <c r="A1144" s="16"/>
      <c r="B1144" s="27"/>
      <c r="C1144" s="9"/>
      <c r="D1144" s="6"/>
      <c r="E1144" s="1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  <c r="V1144" s="16"/>
      <c r="W1144" s="16"/>
      <c r="X1144" s="16"/>
      <c r="Y1144" s="16"/>
      <c r="Z1144" s="16"/>
      <c r="AA1144" s="16"/>
      <c r="AB1144" s="16"/>
      <c r="AC1144" s="16"/>
      <c r="AD1144" s="16"/>
      <c r="AE1144" s="16"/>
      <c r="AF1144" s="16"/>
      <c r="AG1144" s="16"/>
      <c r="AH1144" s="16"/>
      <c r="AI1144" s="16"/>
      <c r="AJ1144" s="16"/>
      <c r="AK1144" s="16"/>
      <c r="AL1144" s="16"/>
      <c r="AM1144" s="16"/>
      <c r="AN1144" s="16"/>
    </row>
    <row r="1145" spans="1:40" x14ac:dyDescent="0.25">
      <c r="A1145" s="16"/>
      <c r="B1145" s="27"/>
      <c r="C1145" s="9"/>
      <c r="D1145" s="6"/>
      <c r="E1145" s="1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  <c r="V1145" s="16"/>
      <c r="W1145" s="16"/>
      <c r="X1145" s="16"/>
      <c r="Y1145" s="16"/>
      <c r="Z1145" s="16"/>
      <c r="AA1145" s="16"/>
      <c r="AB1145" s="16"/>
      <c r="AC1145" s="16"/>
      <c r="AD1145" s="16"/>
      <c r="AE1145" s="16"/>
      <c r="AF1145" s="16"/>
      <c r="AG1145" s="16"/>
      <c r="AH1145" s="16"/>
      <c r="AI1145" s="16"/>
      <c r="AJ1145" s="16"/>
      <c r="AK1145" s="16"/>
      <c r="AL1145" s="16"/>
      <c r="AM1145" s="16"/>
      <c r="AN1145" s="16"/>
    </row>
    <row r="1146" spans="1:40" x14ac:dyDescent="0.25">
      <c r="A1146" s="16"/>
      <c r="B1146" s="27"/>
      <c r="C1146" s="9"/>
      <c r="D1146" s="6"/>
      <c r="E1146" s="1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  <c r="V1146" s="16"/>
      <c r="W1146" s="16"/>
      <c r="X1146" s="16"/>
      <c r="Y1146" s="16"/>
      <c r="Z1146" s="16"/>
      <c r="AA1146" s="16"/>
      <c r="AB1146" s="16"/>
      <c r="AC1146" s="16"/>
      <c r="AD1146" s="16"/>
      <c r="AE1146" s="16"/>
      <c r="AF1146" s="16"/>
      <c r="AG1146" s="16"/>
      <c r="AH1146" s="16"/>
      <c r="AI1146" s="16"/>
      <c r="AJ1146" s="16"/>
      <c r="AK1146" s="16"/>
      <c r="AL1146" s="16"/>
      <c r="AM1146" s="16"/>
      <c r="AN1146" s="16"/>
    </row>
    <row r="1147" spans="1:40" x14ac:dyDescent="0.25">
      <c r="A1147" s="16"/>
      <c r="B1147" s="27"/>
      <c r="C1147" s="9"/>
      <c r="D1147" s="6"/>
      <c r="E1147" s="1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  <c r="V1147" s="16"/>
      <c r="W1147" s="16"/>
      <c r="X1147" s="16"/>
      <c r="Y1147" s="16"/>
      <c r="Z1147" s="16"/>
      <c r="AA1147" s="16"/>
      <c r="AB1147" s="16"/>
      <c r="AC1147" s="16"/>
      <c r="AD1147" s="16"/>
      <c r="AE1147" s="16"/>
      <c r="AF1147" s="16"/>
      <c r="AG1147" s="16"/>
      <c r="AH1147" s="16"/>
      <c r="AI1147" s="16"/>
      <c r="AJ1147" s="16"/>
      <c r="AK1147" s="16"/>
      <c r="AL1147" s="16"/>
      <c r="AM1147" s="16"/>
      <c r="AN1147" s="16"/>
    </row>
    <row r="1148" spans="1:40" x14ac:dyDescent="0.25">
      <c r="A1148" s="16"/>
      <c r="B1148" s="27"/>
      <c r="C1148" s="9"/>
      <c r="D1148" s="6"/>
      <c r="E1148" s="1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  <c r="V1148" s="16"/>
      <c r="W1148" s="16"/>
      <c r="X1148" s="16"/>
      <c r="Y1148" s="16"/>
      <c r="Z1148" s="16"/>
      <c r="AA1148" s="16"/>
      <c r="AB1148" s="16"/>
      <c r="AC1148" s="16"/>
      <c r="AD1148" s="16"/>
      <c r="AE1148" s="16"/>
      <c r="AF1148" s="16"/>
      <c r="AG1148" s="16"/>
      <c r="AH1148" s="16"/>
      <c r="AI1148" s="16"/>
      <c r="AJ1148" s="16"/>
      <c r="AK1148" s="16"/>
      <c r="AL1148" s="16"/>
      <c r="AM1148" s="16"/>
      <c r="AN1148" s="16"/>
    </row>
    <row r="1149" spans="1:40" x14ac:dyDescent="0.25">
      <c r="A1149" s="16"/>
      <c r="B1149" s="27"/>
      <c r="C1149" s="9"/>
      <c r="D1149" s="6"/>
      <c r="E1149" s="1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  <c r="V1149" s="16"/>
      <c r="W1149" s="16"/>
      <c r="X1149" s="16"/>
      <c r="Y1149" s="16"/>
      <c r="Z1149" s="16"/>
      <c r="AA1149" s="16"/>
      <c r="AB1149" s="16"/>
      <c r="AC1149" s="16"/>
      <c r="AD1149" s="16"/>
      <c r="AE1149" s="16"/>
      <c r="AF1149" s="16"/>
      <c r="AG1149" s="16"/>
      <c r="AH1149" s="16"/>
      <c r="AI1149" s="16"/>
      <c r="AJ1149" s="16"/>
      <c r="AK1149" s="16"/>
      <c r="AL1149" s="16"/>
      <c r="AM1149" s="16"/>
      <c r="AN1149" s="16"/>
    </row>
    <row r="1150" spans="1:40" x14ac:dyDescent="0.25">
      <c r="A1150" s="16"/>
      <c r="B1150" s="27"/>
      <c r="C1150" s="9"/>
      <c r="D1150" s="6"/>
      <c r="E1150" s="1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  <c r="V1150" s="16"/>
      <c r="W1150" s="16"/>
      <c r="X1150" s="16"/>
      <c r="Y1150" s="16"/>
      <c r="Z1150" s="16"/>
      <c r="AA1150" s="16"/>
      <c r="AB1150" s="16"/>
      <c r="AC1150" s="16"/>
      <c r="AD1150" s="16"/>
      <c r="AE1150" s="16"/>
      <c r="AF1150" s="16"/>
      <c r="AG1150" s="16"/>
      <c r="AH1150" s="16"/>
      <c r="AI1150" s="16"/>
      <c r="AJ1150" s="16"/>
      <c r="AK1150" s="16"/>
      <c r="AL1150" s="16"/>
      <c r="AM1150" s="16"/>
      <c r="AN1150" s="16"/>
    </row>
    <row r="1151" spans="1:40" x14ac:dyDescent="0.25">
      <c r="A1151" s="16"/>
      <c r="B1151" s="27"/>
      <c r="C1151" s="9"/>
      <c r="D1151" s="6"/>
      <c r="E1151" s="1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  <c r="V1151" s="16"/>
      <c r="W1151" s="16"/>
      <c r="X1151" s="16"/>
      <c r="Y1151" s="16"/>
      <c r="Z1151" s="16"/>
      <c r="AA1151" s="16"/>
      <c r="AB1151" s="16"/>
      <c r="AC1151" s="16"/>
      <c r="AD1151" s="16"/>
      <c r="AE1151" s="16"/>
      <c r="AF1151" s="16"/>
      <c r="AG1151" s="16"/>
      <c r="AH1151" s="16"/>
      <c r="AI1151" s="16"/>
      <c r="AJ1151" s="16"/>
      <c r="AK1151" s="16"/>
      <c r="AL1151" s="16"/>
      <c r="AM1151" s="16"/>
      <c r="AN1151" s="16"/>
    </row>
    <row r="1152" spans="1:40" x14ac:dyDescent="0.25">
      <c r="A1152" s="16"/>
      <c r="B1152" s="27"/>
      <c r="C1152" s="9"/>
      <c r="D1152" s="6"/>
      <c r="E1152" s="1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  <c r="V1152" s="16"/>
      <c r="W1152" s="16"/>
      <c r="X1152" s="16"/>
      <c r="Y1152" s="16"/>
      <c r="Z1152" s="16"/>
      <c r="AA1152" s="16"/>
      <c r="AB1152" s="16"/>
      <c r="AC1152" s="16"/>
      <c r="AD1152" s="16"/>
      <c r="AE1152" s="16"/>
      <c r="AF1152" s="16"/>
      <c r="AG1152" s="16"/>
      <c r="AH1152" s="16"/>
      <c r="AI1152" s="16"/>
      <c r="AJ1152" s="16"/>
      <c r="AK1152" s="16"/>
      <c r="AL1152" s="16"/>
      <c r="AM1152" s="16"/>
      <c r="AN1152" s="16"/>
    </row>
    <row r="1153" spans="1:40" x14ac:dyDescent="0.25">
      <c r="A1153" s="16"/>
      <c r="B1153" s="27"/>
      <c r="C1153" s="9"/>
      <c r="D1153" s="6"/>
      <c r="E1153" s="1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  <c r="V1153" s="16"/>
      <c r="W1153" s="16"/>
      <c r="X1153" s="16"/>
      <c r="Y1153" s="16"/>
      <c r="Z1153" s="16"/>
      <c r="AA1153" s="16"/>
      <c r="AB1153" s="16"/>
      <c r="AC1153" s="16"/>
      <c r="AD1153" s="16"/>
      <c r="AE1153" s="16"/>
      <c r="AF1153" s="16"/>
      <c r="AG1153" s="16"/>
      <c r="AH1153" s="16"/>
      <c r="AI1153" s="16"/>
      <c r="AJ1153" s="16"/>
      <c r="AK1153" s="16"/>
      <c r="AL1153" s="16"/>
      <c r="AM1153" s="16"/>
      <c r="AN1153" s="16"/>
    </row>
    <row r="1154" spans="1:40" x14ac:dyDescent="0.25">
      <c r="A1154" s="16"/>
      <c r="B1154" s="27"/>
      <c r="C1154" s="9"/>
      <c r="D1154" s="6"/>
      <c r="E1154" s="1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  <c r="V1154" s="16"/>
      <c r="W1154" s="16"/>
      <c r="X1154" s="16"/>
      <c r="Y1154" s="16"/>
      <c r="Z1154" s="16"/>
      <c r="AA1154" s="16"/>
      <c r="AB1154" s="16"/>
      <c r="AC1154" s="16"/>
      <c r="AD1154" s="16"/>
      <c r="AE1154" s="16"/>
      <c r="AF1154" s="16"/>
      <c r="AG1154" s="16"/>
      <c r="AH1154" s="16"/>
      <c r="AI1154" s="16"/>
      <c r="AJ1154" s="16"/>
      <c r="AK1154" s="16"/>
      <c r="AL1154" s="16"/>
      <c r="AM1154" s="16"/>
      <c r="AN1154" s="16"/>
    </row>
    <row r="1155" spans="1:40" x14ac:dyDescent="0.25">
      <c r="A1155" s="16"/>
      <c r="B1155" s="27"/>
      <c r="C1155" s="9"/>
      <c r="D1155" s="6"/>
      <c r="E1155" s="1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  <c r="V1155" s="16"/>
      <c r="W1155" s="16"/>
      <c r="X1155" s="16"/>
      <c r="Y1155" s="16"/>
      <c r="Z1155" s="16"/>
      <c r="AA1155" s="16"/>
      <c r="AB1155" s="16"/>
      <c r="AC1155" s="16"/>
      <c r="AD1155" s="16"/>
      <c r="AE1155" s="16"/>
      <c r="AF1155" s="16"/>
      <c r="AG1155" s="16"/>
      <c r="AH1155" s="16"/>
      <c r="AI1155" s="16"/>
      <c r="AJ1155" s="16"/>
      <c r="AK1155" s="16"/>
      <c r="AL1155" s="16"/>
      <c r="AM1155" s="16"/>
      <c r="AN1155" s="16"/>
    </row>
    <row r="1156" spans="1:40" x14ac:dyDescent="0.25">
      <c r="A1156" s="16"/>
      <c r="B1156" s="27"/>
      <c r="C1156" s="9"/>
      <c r="D1156" s="6"/>
      <c r="E1156" s="1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  <c r="V1156" s="16"/>
      <c r="W1156" s="16"/>
      <c r="X1156" s="16"/>
      <c r="Y1156" s="16"/>
      <c r="Z1156" s="16"/>
      <c r="AA1156" s="16"/>
      <c r="AB1156" s="16"/>
      <c r="AC1156" s="16"/>
      <c r="AD1156" s="16"/>
      <c r="AE1156" s="16"/>
      <c r="AF1156" s="16"/>
      <c r="AG1156" s="16"/>
      <c r="AH1156" s="16"/>
      <c r="AI1156" s="16"/>
      <c r="AJ1156" s="16"/>
      <c r="AK1156" s="16"/>
      <c r="AL1156" s="16"/>
      <c r="AM1156" s="16"/>
      <c r="AN1156" s="16"/>
    </row>
    <row r="1157" spans="1:40" x14ac:dyDescent="0.25">
      <c r="A1157" s="16"/>
      <c r="B1157" s="27"/>
      <c r="C1157" s="9"/>
      <c r="D1157" s="6"/>
      <c r="E1157" s="1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  <c r="V1157" s="16"/>
      <c r="W1157" s="16"/>
      <c r="X1157" s="16"/>
      <c r="Y1157" s="16"/>
      <c r="Z1157" s="16"/>
      <c r="AA1157" s="16"/>
      <c r="AB1157" s="16"/>
      <c r="AC1157" s="16"/>
      <c r="AD1157" s="16"/>
      <c r="AE1157" s="16"/>
      <c r="AF1157" s="16"/>
      <c r="AG1157" s="16"/>
      <c r="AH1157" s="16"/>
      <c r="AI1157" s="16"/>
      <c r="AJ1157" s="16"/>
      <c r="AK1157" s="16"/>
      <c r="AL1157" s="16"/>
      <c r="AM1157" s="16"/>
      <c r="AN1157" s="16"/>
    </row>
    <row r="1158" spans="1:40" x14ac:dyDescent="0.25">
      <c r="A1158" s="16"/>
      <c r="B1158" s="27"/>
      <c r="C1158" s="9"/>
      <c r="D1158" s="6"/>
      <c r="E1158" s="1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  <c r="V1158" s="16"/>
      <c r="W1158" s="16"/>
      <c r="X1158" s="16"/>
      <c r="Y1158" s="16"/>
      <c r="Z1158" s="16"/>
      <c r="AA1158" s="16"/>
      <c r="AB1158" s="16"/>
      <c r="AC1158" s="16"/>
      <c r="AD1158" s="16"/>
      <c r="AE1158" s="16"/>
      <c r="AF1158" s="16"/>
      <c r="AG1158" s="16"/>
      <c r="AH1158" s="16"/>
      <c r="AI1158" s="16"/>
      <c r="AJ1158" s="16"/>
      <c r="AK1158" s="16"/>
      <c r="AL1158" s="16"/>
      <c r="AM1158" s="16"/>
      <c r="AN1158" s="16"/>
    </row>
    <row r="1159" spans="1:40" x14ac:dyDescent="0.25">
      <c r="A1159" s="16"/>
      <c r="B1159" s="27"/>
      <c r="C1159" s="9"/>
      <c r="D1159" s="6"/>
      <c r="E1159" s="1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  <c r="V1159" s="16"/>
      <c r="W1159" s="16"/>
      <c r="X1159" s="16"/>
      <c r="Y1159" s="16"/>
      <c r="Z1159" s="16"/>
      <c r="AA1159" s="16"/>
      <c r="AB1159" s="16"/>
      <c r="AC1159" s="16"/>
      <c r="AD1159" s="16"/>
      <c r="AE1159" s="16"/>
      <c r="AF1159" s="16"/>
      <c r="AG1159" s="16"/>
      <c r="AH1159" s="16"/>
      <c r="AI1159" s="16"/>
      <c r="AJ1159" s="16"/>
      <c r="AK1159" s="16"/>
      <c r="AL1159" s="16"/>
      <c r="AM1159" s="16"/>
      <c r="AN1159" s="16"/>
    </row>
    <row r="1160" spans="1:40" x14ac:dyDescent="0.25">
      <c r="A1160" s="16"/>
      <c r="B1160" s="27"/>
      <c r="C1160" s="9"/>
      <c r="D1160" s="6"/>
      <c r="E1160" s="1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  <c r="V1160" s="16"/>
      <c r="W1160" s="16"/>
      <c r="X1160" s="16"/>
      <c r="Y1160" s="16"/>
      <c r="Z1160" s="16"/>
      <c r="AA1160" s="16"/>
      <c r="AB1160" s="16"/>
      <c r="AC1160" s="16"/>
      <c r="AD1160" s="16"/>
      <c r="AE1160" s="16"/>
      <c r="AF1160" s="16"/>
      <c r="AG1160" s="16"/>
      <c r="AH1160" s="16"/>
      <c r="AI1160" s="16"/>
      <c r="AJ1160" s="16"/>
      <c r="AK1160" s="16"/>
      <c r="AL1160" s="16"/>
      <c r="AM1160" s="16"/>
      <c r="AN1160" s="16"/>
    </row>
    <row r="1161" spans="1:40" x14ac:dyDescent="0.25">
      <c r="A1161" s="16"/>
      <c r="B1161" s="27"/>
      <c r="C1161" s="9"/>
      <c r="D1161" s="6"/>
      <c r="E1161" s="1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  <c r="V1161" s="16"/>
      <c r="W1161" s="16"/>
      <c r="X1161" s="16"/>
      <c r="Y1161" s="16"/>
      <c r="Z1161" s="16"/>
      <c r="AA1161" s="16"/>
      <c r="AB1161" s="16"/>
      <c r="AC1161" s="16"/>
      <c r="AD1161" s="16"/>
      <c r="AE1161" s="16"/>
      <c r="AF1161" s="16"/>
      <c r="AG1161" s="16"/>
      <c r="AH1161" s="16"/>
      <c r="AI1161" s="16"/>
      <c r="AJ1161" s="16"/>
      <c r="AK1161" s="16"/>
      <c r="AL1161" s="16"/>
      <c r="AM1161" s="16"/>
      <c r="AN1161" s="16"/>
    </row>
    <row r="1162" spans="1:40" x14ac:dyDescent="0.25">
      <c r="A1162" s="16"/>
      <c r="B1162" s="27"/>
      <c r="C1162" s="9"/>
      <c r="D1162" s="6"/>
      <c r="E1162" s="1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  <c r="V1162" s="16"/>
      <c r="W1162" s="16"/>
      <c r="X1162" s="16"/>
      <c r="Y1162" s="16"/>
      <c r="Z1162" s="16"/>
      <c r="AA1162" s="16"/>
      <c r="AB1162" s="16"/>
      <c r="AC1162" s="16"/>
      <c r="AD1162" s="16"/>
      <c r="AE1162" s="16"/>
      <c r="AF1162" s="16"/>
      <c r="AG1162" s="16"/>
      <c r="AH1162" s="16"/>
      <c r="AI1162" s="16"/>
      <c r="AJ1162" s="16"/>
      <c r="AK1162" s="16"/>
      <c r="AL1162" s="16"/>
      <c r="AM1162" s="16"/>
      <c r="AN1162" s="16"/>
    </row>
    <row r="1163" spans="1:40" x14ac:dyDescent="0.25">
      <c r="A1163" s="16"/>
      <c r="B1163" s="27"/>
      <c r="C1163" s="9"/>
      <c r="D1163" s="6"/>
      <c r="E1163" s="1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  <c r="V1163" s="16"/>
      <c r="W1163" s="16"/>
      <c r="X1163" s="16"/>
      <c r="Y1163" s="16"/>
      <c r="Z1163" s="16"/>
      <c r="AA1163" s="16"/>
      <c r="AB1163" s="16"/>
      <c r="AC1163" s="16"/>
      <c r="AD1163" s="16"/>
      <c r="AE1163" s="16"/>
      <c r="AF1163" s="16"/>
      <c r="AG1163" s="16"/>
      <c r="AH1163" s="16"/>
      <c r="AI1163" s="16"/>
      <c r="AJ1163" s="16"/>
      <c r="AK1163" s="16"/>
      <c r="AL1163" s="16"/>
      <c r="AM1163" s="16"/>
      <c r="AN1163" s="16"/>
    </row>
    <row r="1164" spans="1:40" x14ac:dyDescent="0.25">
      <c r="A1164" s="16"/>
      <c r="B1164" s="27"/>
      <c r="C1164" s="9"/>
      <c r="D1164" s="6"/>
      <c r="E1164" s="1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  <c r="V1164" s="16"/>
      <c r="W1164" s="16"/>
      <c r="X1164" s="16"/>
      <c r="Y1164" s="16"/>
      <c r="Z1164" s="16"/>
      <c r="AA1164" s="16"/>
      <c r="AB1164" s="16"/>
      <c r="AC1164" s="16"/>
      <c r="AD1164" s="16"/>
      <c r="AE1164" s="16"/>
      <c r="AF1164" s="16"/>
      <c r="AG1164" s="16"/>
      <c r="AH1164" s="16"/>
      <c r="AI1164" s="16"/>
      <c r="AJ1164" s="16"/>
      <c r="AK1164" s="16"/>
      <c r="AL1164" s="16"/>
      <c r="AM1164" s="16"/>
      <c r="AN1164" s="16"/>
    </row>
    <row r="1165" spans="1:40" x14ac:dyDescent="0.25">
      <c r="A1165" s="16"/>
      <c r="B1165" s="27"/>
      <c r="C1165" s="9"/>
      <c r="D1165" s="6"/>
      <c r="E1165" s="1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  <c r="V1165" s="16"/>
      <c r="W1165" s="16"/>
      <c r="X1165" s="16"/>
      <c r="Y1165" s="16"/>
      <c r="Z1165" s="16"/>
      <c r="AA1165" s="16"/>
      <c r="AB1165" s="16"/>
      <c r="AC1165" s="16"/>
      <c r="AD1165" s="16"/>
      <c r="AE1165" s="16"/>
      <c r="AF1165" s="16"/>
      <c r="AG1165" s="16"/>
      <c r="AH1165" s="16"/>
      <c r="AI1165" s="16"/>
      <c r="AJ1165" s="16"/>
      <c r="AK1165" s="16"/>
      <c r="AL1165" s="16"/>
      <c r="AM1165" s="16"/>
      <c r="AN1165" s="16"/>
    </row>
    <row r="1166" spans="1:40" x14ac:dyDescent="0.25">
      <c r="A1166" s="16"/>
      <c r="B1166" s="27"/>
      <c r="C1166" s="9"/>
      <c r="D1166" s="6"/>
      <c r="E1166" s="1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  <c r="V1166" s="16"/>
      <c r="W1166" s="16"/>
      <c r="X1166" s="16"/>
      <c r="Y1166" s="16"/>
      <c r="Z1166" s="16"/>
      <c r="AA1166" s="16"/>
      <c r="AB1166" s="16"/>
      <c r="AC1166" s="16"/>
      <c r="AD1166" s="16"/>
      <c r="AE1166" s="16"/>
      <c r="AF1166" s="16"/>
      <c r="AG1166" s="16"/>
      <c r="AH1166" s="16"/>
      <c r="AI1166" s="16"/>
      <c r="AJ1166" s="16"/>
      <c r="AK1166" s="16"/>
      <c r="AL1166" s="16"/>
      <c r="AM1166" s="16"/>
      <c r="AN1166" s="16"/>
    </row>
    <row r="1167" spans="1:40" x14ac:dyDescent="0.25">
      <c r="A1167" s="16"/>
      <c r="B1167" s="27"/>
      <c r="C1167" s="9"/>
      <c r="D1167" s="6"/>
      <c r="E1167" s="1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  <c r="V1167" s="16"/>
      <c r="W1167" s="16"/>
      <c r="X1167" s="16"/>
      <c r="Y1167" s="16"/>
      <c r="Z1167" s="16"/>
      <c r="AA1167" s="16"/>
      <c r="AB1167" s="16"/>
      <c r="AC1167" s="16"/>
      <c r="AD1167" s="16"/>
      <c r="AE1167" s="16"/>
      <c r="AF1167" s="16"/>
      <c r="AG1167" s="16"/>
      <c r="AH1167" s="16"/>
      <c r="AI1167" s="16"/>
      <c r="AJ1167" s="16"/>
      <c r="AK1167" s="16"/>
      <c r="AL1167" s="16"/>
      <c r="AM1167" s="16"/>
      <c r="AN1167" s="16"/>
    </row>
    <row r="1168" spans="1:40" x14ac:dyDescent="0.25">
      <c r="A1168" s="16"/>
      <c r="B1168" s="27"/>
      <c r="C1168" s="9"/>
      <c r="D1168" s="6"/>
      <c r="E1168" s="1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  <c r="V1168" s="16"/>
      <c r="W1168" s="16"/>
      <c r="X1168" s="16"/>
      <c r="Y1168" s="16"/>
      <c r="Z1168" s="16"/>
      <c r="AA1168" s="16"/>
      <c r="AB1168" s="16"/>
      <c r="AC1168" s="16"/>
      <c r="AD1168" s="16"/>
      <c r="AE1168" s="16"/>
      <c r="AF1168" s="16"/>
      <c r="AG1168" s="16"/>
      <c r="AH1168" s="16"/>
      <c r="AI1168" s="16"/>
      <c r="AJ1168" s="16"/>
      <c r="AK1168" s="16"/>
      <c r="AL1168" s="16"/>
      <c r="AM1168" s="16"/>
      <c r="AN1168" s="16"/>
    </row>
    <row r="1169" spans="1:40" x14ac:dyDescent="0.25">
      <c r="A1169" s="16"/>
      <c r="B1169" s="27"/>
      <c r="C1169" s="9"/>
      <c r="D1169" s="6"/>
      <c r="E1169" s="1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  <c r="V1169" s="16"/>
      <c r="W1169" s="16"/>
      <c r="X1169" s="16"/>
      <c r="Y1169" s="16"/>
      <c r="Z1169" s="16"/>
      <c r="AA1169" s="16"/>
      <c r="AB1169" s="16"/>
      <c r="AC1169" s="16"/>
      <c r="AD1169" s="16"/>
      <c r="AE1169" s="16"/>
      <c r="AF1169" s="16"/>
      <c r="AG1169" s="16"/>
      <c r="AH1169" s="16"/>
      <c r="AI1169" s="16"/>
      <c r="AJ1169" s="16"/>
      <c r="AK1169" s="16"/>
      <c r="AL1169" s="16"/>
      <c r="AM1169" s="16"/>
      <c r="AN1169" s="16"/>
    </row>
    <row r="1170" spans="1:40" x14ac:dyDescent="0.25">
      <c r="A1170" s="16"/>
      <c r="B1170" s="27"/>
      <c r="C1170" s="9"/>
      <c r="D1170" s="6"/>
      <c r="E1170" s="1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  <c r="V1170" s="16"/>
      <c r="W1170" s="16"/>
      <c r="X1170" s="16"/>
      <c r="Y1170" s="16"/>
      <c r="Z1170" s="16"/>
      <c r="AA1170" s="16"/>
      <c r="AB1170" s="16"/>
      <c r="AC1170" s="16"/>
      <c r="AD1170" s="16"/>
      <c r="AE1170" s="16"/>
      <c r="AF1170" s="16"/>
      <c r="AG1170" s="16"/>
      <c r="AH1170" s="16"/>
      <c r="AI1170" s="16"/>
      <c r="AJ1170" s="16"/>
      <c r="AK1170" s="16"/>
      <c r="AL1170" s="16"/>
      <c r="AM1170" s="16"/>
      <c r="AN1170" s="16"/>
    </row>
    <row r="1171" spans="1:40" x14ac:dyDescent="0.25">
      <c r="A1171" s="16"/>
      <c r="B1171" s="27"/>
      <c r="C1171" s="9"/>
      <c r="D1171" s="6"/>
      <c r="E1171" s="1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  <c r="V1171" s="16"/>
      <c r="W1171" s="16"/>
      <c r="X1171" s="16"/>
      <c r="Y1171" s="16"/>
      <c r="Z1171" s="16"/>
      <c r="AA1171" s="16"/>
      <c r="AB1171" s="16"/>
      <c r="AC1171" s="16"/>
      <c r="AD1171" s="16"/>
      <c r="AE1171" s="16"/>
      <c r="AF1171" s="16"/>
      <c r="AG1171" s="16"/>
      <c r="AH1171" s="16"/>
      <c r="AI1171" s="16"/>
      <c r="AJ1171" s="16"/>
      <c r="AK1171" s="16"/>
      <c r="AL1171" s="16"/>
      <c r="AM1171" s="16"/>
      <c r="AN1171" s="16"/>
    </row>
    <row r="1172" spans="1:40" x14ac:dyDescent="0.25">
      <c r="A1172" s="16"/>
      <c r="B1172" s="27"/>
      <c r="C1172" s="9"/>
      <c r="D1172" s="6"/>
      <c r="E1172" s="1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  <c r="V1172" s="16"/>
      <c r="W1172" s="16"/>
      <c r="X1172" s="16"/>
      <c r="Y1172" s="16"/>
      <c r="Z1172" s="16"/>
      <c r="AA1172" s="16"/>
      <c r="AB1172" s="16"/>
      <c r="AC1172" s="16"/>
      <c r="AD1172" s="16"/>
      <c r="AE1172" s="16"/>
      <c r="AF1172" s="16"/>
      <c r="AG1172" s="16"/>
      <c r="AH1172" s="16"/>
      <c r="AI1172" s="16"/>
      <c r="AJ1172" s="16"/>
      <c r="AK1172" s="16"/>
      <c r="AL1172" s="16"/>
      <c r="AM1172" s="16"/>
      <c r="AN1172" s="16"/>
    </row>
    <row r="1173" spans="1:40" x14ac:dyDescent="0.25">
      <c r="A1173" s="16"/>
      <c r="B1173" s="27"/>
      <c r="C1173" s="9"/>
      <c r="D1173" s="6"/>
      <c r="E1173" s="1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  <c r="V1173" s="16"/>
      <c r="W1173" s="16"/>
      <c r="X1173" s="16"/>
      <c r="Y1173" s="16"/>
      <c r="Z1173" s="16"/>
      <c r="AA1173" s="16"/>
      <c r="AB1173" s="16"/>
      <c r="AC1173" s="16"/>
      <c r="AD1173" s="16"/>
      <c r="AE1173" s="16"/>
      <c r="AF1173" s="16"/>
      <c r="AG1173" s="16"/>
      <c r="AH1173" s="16"/>
      <c r="AI1173" s="16"/>
      <c r="AJ1173" s="16"/>
      <c r="AK1173" s="16"/>
      <c r="AL1173" s="16"/>
      <c r="AM1173" s="16"/>
      <c r="AN1173" s="16"/>
    </row>
    <row r="1174" spans="1:40" x14ac:dyDescent="0.25">
      <c r="A1174" s="16"/>
      <c r="B1174" s="27"/>
      <c r="C1174" s="9"/>
      <c r="D1174" s="6"/>
      <c r="E1174" s="1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  <c r="V1174" s="16"/>
      <c r="W1174" s="16"/>
      <c r="X1174" s="16"/>
      <c r="Y1174" s="16"/>
      <c r="Z1174" s="16"/>
      <c r="AA1174" s="16"/>
      <c r="AB1174" s="16"/>
      <c r="AC1174" s="16"/>
      <c r="AD1174" s="16"/>
      <c r="AE1174" s="16"/>
      <c r="AF1174" s="16"/>
      <c r="AG1174" s="16"/>
      <c r="AH1174" s="16"/>
      <c r="AI1174" s="16"/>
      <c r="AJ1174" s="16"/>
      <c r="AK1174" s="16"/>
      <c r="AL1174" s="16"/>
      <c r="AM1174" s="16"/>
      <c r="AN1174" s="16"/>
    </row>
    <row r="1175" spans="1:40" x14ac:dyDescent="0.25">
      <c r="A1175" s="16"/>
      <c r="B1175" s="27"/>
      <c r="C1175" s="9"/>
      <c r="D1175" s="6"/>
      <c r="E1175" s="1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  <c r="V1175" s="16"/>
      <c r="W1175" s="16"/>
      <c r="X1175" s="16"/>
      <c r="Y1175" s="16"/>
      <c r="Z1175" s="16"/>
      <c r="AA1175" s="16"/>
      <c r="AB1175" s="16"/>
      <c r="AC1175" s="16"/>
      <c r="AD1175" s="16"/>
      <c r="AE1175" s="16"/>
      <c r="AF1175" s="16"/>
      <c r="AG1175" s="16"/>
      <c r="AH1175" s="16"/>
      <c r="AI1175" s="16"/>
      <c r="AJ1175" s="16"/>
      <c r="AK1175" s="16"/>
      <c r="AL1175" s="16"/>
      <c r="AM1175" s="16"/>
      <c r="AN1175" s="16"/>
    </row>
    <row r="1176" spans="1:40" x14ac:dyDescent="0.25">
      <c r="A1176" s="16"/>
      <c r="B1176" s="27"/>
      <c r="C1176" s="9"/>
      <c r="D1176" s="6"/>
      <c r="E1176" s="1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  <c r="V1176" s="16"/>
      <c r="W1176" s="16"/>
      <c r="X1176" s="16"/>
      <c r="Y1176" s="16"/>
      <c r="Z1176" s="16"/>
      <c r="AA1176" s="16"/>
      <c r="AB1176" s="16"/>
      <c r="AC1176" s="16"/>
      <c r="AD1176" s="16"/>
      <c r="AE1176" s="16"/>
      <c r="AF1176" s="16"/>
      <c r="AG1176" s="16"/>
      <c r="AH1176" s="16"/>
      <c r="AI1176" s="16"/>
      <c r="AJ1176" s="16"/>
      <c r="AK1176" s="16"/>
      <c r="AL1176" s="16"/>
      <c r="AM1176" s="16"/>
      <c r="AN1176" s="16"/>
    </row>
    <row r="1177" spans="1:40" x14ac:dyDescent="0.25">
      <c r="A1177" s="16"/>
      <c r="B1177" s="27"/>
      <c r="C1177" s="9"/>
      <c r="D1177" s="6"/>
      <c r="E1177" s="1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  <c r="V1177" s="16"/>
      <c r="W1177" s="16"/>
      <c r="X1177" s="16"/>
      <c r="Y1177" s="16"/>
      <c r="Z1177" s="16"/>
      <c r="AA1177" s="16"/>
      <c r="AB1177" s="16"/>
      <c r="AC1177" s="16"/>
      <c r="AD1177" s="16"/>
      <c r="AE1177" s="16"/>
      <c r="AF1177" s="16"/>
      <c r="AG1177" s="16"/>
      <c r="AH1177" s="16"/>
      <c r="AI1177" s="16"/>
      <c r="AJ1177" s="16"/>
      <c r="AK1177" s="16"/>
      <c r="AL1177" s="16"/>
      <c r="AM1177" s="16"/>
      <c r="AN1177" s="16"/>
    </row>
    <row r="1178" spans="1:40" x14ac:dyDescent="0.25">
      <c r="A1178" s="16"/>
      <c r="B1178" s="27"/>
      <c r="C1178" s="9"/>
      <c r="D1178" s="6"/>
      <c r="E1178" s="1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  <c r="V1178" s="16"/>
      <c r="W1178" s="16"/>
      <c r="X1178" s="16"/>
      <c r="Y1178" s="16"/>
      <c r="Z1178" s="16"/>
      <c r="AA1178" s="16"/>
      <c r="AB1178" s="16"/>
      <c r="AC1178" s="16"/>
      <c r="AD1178" s="16"/>
      <c r="AE1178" s="16"/>
      <c r="AF1178" s="16"/>
      <c r="AG1178" s="16"/>
      <c r="AH1178" s="16"/>
      <c r="AI1178" s="16"/>
      <c r="AJ1178" s="16"/>
      <c r="AK1178" s="16"/>
      <c r="AL1178" s="16"/>
      <c r="AM1178" s="16"/>
      <c r="AN1178" s="16"/>
    </row>
    <row r="1179" spans="1:40" x14ac:dyDescent="0.25">
      <c r="A1179" s="16"/>
      <c r="B1179" s="27"/>
      <c r="C1179" s="9"/>
      <c r="D1179" s="6"/>
      <c r="E1179" s="1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  <c r="V1179" s="16"/>
      <c r="W1179" s="16"/>
      <c r="X1179" s="16"/>
      <c r="Y1179" s="16"/>
      <c r="Z1179" s="16"/>
      <c r="AA1179" s="16"/>
      <c r="AB1179" s="16"/>
      <c r="AC1179" s="16"/>
      <c r="AD1179" s="16"/>
      <c r="AE1179" s="16"/>
      <c r="AF1179" s="16"/>
      <c r="AG1179" s="16"/>
      <c r="AH1179" s="16"/>
      <c r="AI1179" s="16"/>
      <c r="AJ1179" s="16"/>
      <c r="AK1179" s="16"/>
      <c r="AL1179" s="16"/>
      <c r="AM1179" s="16"/>
      <c r="AN1179" s="16"/>
    </row>
    <row r="1180" spans="1:40" x14ac:dyDescent="0.25">
      <c r="A1180" s="16"/>
      <c r="B1180" s="27"/>
      <c r="C1180" s="9"/>
      <c r="D1180" s="6"/>
      <c r="E1180" s="1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  <c r="V1180" s="16"/>
      <c r="W1180" s="16"/>
      <c r="X1180" s="16"/>
      <c r="Y1180" s="16"/>
      <c r="Z1180" s="16"/>
      <c r="AA1180" s="16"/>
      <c r="AB1180" s="16"/>
      <c r="AC1180" s="16"/>
      <c r="AD1180" s="16"/>
      <c r="AE1180" s="16"/>
      <c r="AF1180" s="16"/>
      <c r="AG1180" s="16"/>
      <c r="AH1180" s="16"/>
      <c r="AI1180" s="16"/>
      <c r="AJ1180" s="16"/>
      <c r="AK1180" s="16"/>
      <c r="AL1180" s="16"/>
      <c r="AM1180" s="16"/>
      <c r="AN1180" s="16"/>
    </row>
    <row r="1181" spans="1:40" x14ac:dyDescent="0.25">
      <c r="A1181" s="16"/>
      <c r="B1181" s="27"/>
      <c r="C1181" s="9"/>
      <c r="D1181" s="6"/>
      <c r="E1181" s="1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  <c r="V1181" s="16"/>
      <c r="W1181" s="16"/>
      <c r="X1181" s="16"/>
      <c r="Y1181" s="16"/>
      <c r="Z1181" s="16"/>
      <c r="AA1181" s="16"/>
      <c r="AB1181" s="16"/>
      <c r="AC1181" s="16"/>
      <c r="AD1181" s="16"/>
      <c r="AE1181" s="16"/>
      <c r="AF1181" s="16"/>
      <c r="AG1181" s="16"/>
      <c r="AH1181" s="16"/>
      <c r="AI1181" s="16"/>
      <c r="AJ1181" s="16"/>
      <c r="AK1181" s="16"/>
      <c r="AL1181" s="16"/>
      <c r="AM1181" s="16"/>
      <c r="AN1181" s="16"/>
    </row>
    <row r="1182" spans="1:40" x14ac:dyDescent="0.25">
      <c r="A1182" s="16"/>
      <c r="B1182" s="27"/>
      <c r="C1182" s="9"/>
      <c r="D1182" s="6"/>
      <c r="E1182" s="1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  <c r="V1182" s="16"/>
      <c r="W1182" s="16"/>
      <c r="X1182" s="16"/>
      <c r="Y1182" s="16"/>
      <c r="Z1182" s="16"/>
      <c r="AA1182" s="16"/>
      <c r="AB1182" s="16"/>
      <c r="AC1182" s="16"/>
      <c r="AD1182" s="16"/>
      <c r="AE1182" s="16"/>
      <c r="AF1182" s="16"/>
      <c r="AG1182" s="16"/>
      <c r="AH1182" s="16"/>
      <c r="AI1182" s="16"/>
      <c r="AJ1182" s="16"/>
      <c r="AK1182" s="16"/>
      <c r="AL1182" s="16"/>
      <c r="AM1182" s="16"/>
      <c r="AN1182" s="16"/>
    </row>
    <row r="1183" spans="1:40" x14ac:dyDescent="0.25">
      <c r="A1183" s="16"/>
      <c r="B1183" s="27"/>
      <c r="C1183" s="9"/>
      <c r="D1183" s="6"/>
      <c r="E1183" s="1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  <c r="V1183" s="16"/>
      <c r="W1183" s="16"/>
      <c r="X1183" s="16"/>
      <c r="Y1183" s="16"/>
      <c r="Z1183" s="16"/>
      <c r="AA1183" s="16"/>
      <c r="AB1183" s="16"/>
      <c r="AC1183" s="16"/>
      <c r="AD1183" s="16"/>
      <c r="AE1183" s="16"/>
      <c r="AF1183" s="16"/>
      <c r="AG1183" s="16"/>
      <c r="AH1183" s="16"/>
      <c r="AI1183" s="16"/>
      <c r="AJ1183" s="16"/>
      <c r="AK1183" s="16"/>
      <c r="AL1183" s="16"/>
      <c r="AM1183" s="16"/>
      <c r="AN1183" s="16"/>
    </row>
    <row r="1184" spans="1:40" x14ac:dyDescent="0.25">
      <c r="A1184" s="16"/>
      <c r="B1184" s="27"/>
      <c r="C1184" s="9"/>
      <c r="D1184" s="6"/>
      <c r="E1184" s="1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  <c r="V1184" s="16"/>
      <c r="W1184" s="16"/>
      <c r="X1184" s="16"/>
      <c r="Y1184" s="16"/>
      <c r="Z1184" s="16"/>
      <c r="AA1184" s="16"/>
      <c r="AB1184" s="16"/>
      <c r="AC1184" s="16"/>
      <c r="AD1184" s="16"/>
      <c r="AE1184" s="16"/>
      <c r="AF1184" s="16"/>
      <c r="AG1184" s="16"/>
      <c r="AH1184" s="16"/>
      <c r="AI1184" s="16"/>
      <c r="AJ1184" s="16"/>
      <c r="AK1184" s="16"/>
      <c r="AL1184" s="16"/>
      <c r="AM1184" s="16"/>
      <c r="AN1184" s="16"/>
    </row>
    <row r="1185" spans="1:40" x14ac:dyDescent="0.25">
      <c r="A1185" s="16"/>
      <c r="B1185" s="27"/>
      <c r="C1185" s="9"/>
      <c r="D1185" s="6"/>
      <c r="E1185" s="1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  <c r="V1185" s="16"/>
      <c r="W1185" s="16"/>
      <c r="X1185" s="16"/>
      <c r="Y1185" s="16"/>
      <c r="Z1185" s="16"/>
      <c r="AA1185" s="16"/>
      <c r="AB1185" s="16"/>
      <c r="AC1185" s="16"/>
      <c r="AD1185" s="16"/>
      <c r="AE1185" s="16"/>
      <c r="AF1185" s="16"/>
      <c r="AG1185" s="16"/>
      <c r="AH1185" s="16"/>
      <c r="AI1185" s="16"/>
      <c r="AJ1185" s="16"/>
      <c r="AK1185" s="16"/>
      <c r="AL1185" s="16"/>
      <c r="AM1185" s="16"/>
      <c r="AN1185" s="16"/>
    </row>
    <row r="1186" spans="1:40" x14ac:dyDescent="0.25">
      <c r="A1186" s="16"/>
      <c r="B1186" s="27"/>
      <c r="C1186" s="9"/>
      <c r="D1186" s="6"/>
      <c r="E1186" s="1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  <c r="V1186" s="16"/>
      <c r="W1186" s="16"/>
      <c r="X1186" s="16"/>
      <c r="Y1186" s="16"/>
      <c r="Z1186" s="16"/>
      <c r="AA1186" s="16"/>
      <c r="AB1186" s="16"/>
      <c r="AC1186" s="16"/>
      <c r="AD1186" s="16"/>
      <c r="AE1186" s="16"/>
      <c r="AF1186" s="16"/>
      <c r="AG1186" s="16"/>
      <c r="AH1186" s="16"/>
      <c r="AI1186" s="16"/>
      <c r="AJ1186" s="16"/>
      <c r="AK1186" s="16"/>
      <c r="AL1186" s="16"/>
      <c r="AM1186" s="16"/>
      <c r="AN1186" s="16"/>
    </row>
    <row r="1187" spans="1:40" x14ac:dyDescent="0.25">
      <c r="A1187" s="16"/>
      <c r="B1187" s="27"/>
      <c r="C1187" s="9"/>
      <c r="D1187" s="6"/>
      <c r="E1187" s="1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  <c r="V1187" s="16"/>
      <c r="W1187" s="16"/>
      <c r="X1187" s="16"/>
      <c r="Y1187" s="16"/>
      <c r="Z1187" s="16"/>
      <c r="AA1187" s="16"/>
      <c r="AB1187" s="16"/>
      <c r="AC1187" s="16"/>
      <c r="AD1187" s="16"/>
      <c r="AE1187" s="16"/>
      <c r="AF1187" s="16"/>
      <c r="AG1187" s="16"/>
      <c r="AH1187" s="16"/>
      <c r="AI1187" s="16"/>
      <c r="AJ1187" s="16"/>
      <c r="AK1187" s="16"/>
      <c r="AL1187" s="16"/>
      <c r="AM1187" s="16"/>
      <c r="AN1187" s="16"/>
    </row>
    <row r="1188" spans="1:40" x14ac:dyDescent="0.25">
      <c r="A1188" s="16"/>
      <c r="B1188" s="27"/>
      <c r="C1188" s="9"/>
      <c r="D1188" s="6"/>
      <c r="E1188" s="1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  <c r="V1188" s="16"/>
      <c r="W1188" s="16"/>
      <c r="X1188" s="16"/>
      <c r="Y1188" s="16"/>
      <c r="Z1188" s="16"/>
      <c r="AA1188" s="16"/>
      <c r="AB1188" s="16"/>
      <c r="AC1188" s="16"/>
      <c r="AD1188" s="16"/>
      <c r="AE1188" s="16"/>
      <c r="AF1188" s="16"/>
      <c r="AG1188" s="16"/>
      <c r="AH1188" s="16"/>
      <c r="AI1188" s="16"/>
      <c r="AJ1188" s="16"/>
      <c r="AK1188" s="16"/>
      <c r="AL1188" s="16"/>
      <c r="AM1188" s="16"/>
      <c r="AN1188" s="16"/>
    </row>
    <row r="1189" spans="1:40" x14ac:dyDescent="0.25">
      <c r="A1189" s="16"/>
      <c r="B1189" s="27"/>
      <c r="C1189" s="9"/>
      <c r="D1189" s="6"/>
      <c r="E1189" s="1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  <c r="V1189" s="16"/>
      <c r="W1189" s="16"/>
      <c r="X1189" s="16"/>
      <c r="Y1189" s="16"/>
      <c r="Z1189" s="16"/>
      <c r="AA1189" s="16"/>
      <c r="AB1189" s="16"/>
      <c r="AC1189" s="16"/>
      <c r="AD1189" s="16"/>
      <c r="AE1189" s="16"/>
      <c r="AF1189" s="16"/>
      <c r="AG1189" s="16"/>
      <c r="AH1189" s="16"/>
      <c r="AI1189" s="16"/>
      <c r="AJ1189" s="16"/>
      <c r="AK1189" s="16"/>
      <c r="AL1189" s="16"/>
      <c r="AM1189" s="16"/>
      <c r="AN1189" s="16"/>
    </row>
    <row r="1190" spans="1:40" x14ac:dyDescent="0.25">
      <c r="A1190" s="16"/>
      <c r="B1190" s="27"/>
      <c r="C1190" s="9"/>
      <c r="D1190" s="6"/>
      <c r="E1190" s="1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  <c r="V1190" s="16"/>
      <c r="W1190" s="16"/>
      <c r="X1190" s="16"/>
      <c r="Y1190" s="16"/>
      <c r="Z1190" s="16"/>
      <c r="AA1190" s="16"/>
      <c r="AB1190" s="16"/>
      <c r="AC1190" s="16"/>
      <c r="AD1190" s="16"/>
      <c r="AE1190" s="16"/>
      <c r="AF1190" s="16"/>
      <c r="AG1190" s="16"/>
      <c r="AH1190" s="16"/>
      <c r="AI1190" s="16"/>
      <c r="AJ1190" s="16"/>
      <c r="AK1190" s="16"/>
      <c r="AL1190" s="16"/>
      <c r="AM1190" s="16"/>
      <c r="AN1190" s="16"/>
    </row>
    <row r="1191" spans="1:40" x14ac:dyDescent="0.25">
      <c r="A1191" s="16"/>
      <c r="B1191" s="27"/>
      <c r="C1191" s="9"/>
      <c r="D1191" s="6"/>
      <c r="E1191" s="1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  <c r="V1191" s="16"/>
      <c r="W1191" s="16"/>
      <c r="X1191" s="16"/>
      <c r="Y1191" s="16"/>
      <c r="Z1191" s="16"/>
      <c r="AA1191" s="16"/>
      <c r="AB1191" s="16"/>
      <c r="AC1191" s="16"/>
      <c r="AD1191" s="16"/>
      <c r="AE1191" s="16"/>
      <c r="AF1191" s="16"/>
      <c r="AG1191" s="16"/>
      <c r="AH1191" s="16"/>
      <c r="AI1191" s="16"/>
      <c r="AJ1191" s="16"/>
      <c r="AK1191" s="16"/>
      <c r="AL1191" s="16"/>
      <c r="AM1191" s="16"/>
      <c r="AN1191" s="16"/>
    </row>
    <row r="1192" spans="1:40" x14ac:dyDescent="0.25">
      <c r="A1192" s="16"/>
      <c r="B1192" s="27"/>
      <c r="C1192" s="9"/>
      <c r="D1192" s="6"/>
      <c r="E1192" s="1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  <c r="V1192" s="16"/>
      <c r="W1192" s="16"/>
      <c r="X1192" s="16"/>
      <c r="Y1192" s="16"/>
      <c r="Z1192" s="16"/>
      <c r="AA1192" s="16"/>
      <c r="AB1192" s="16"/>
      <c r="AC1192" s="16"/>
      <c r="AD1192" s="16"/>
      <c r="AE1192" s="16"/>
      <c r="AF1192" s="16"/>
      <c r="AG1192" s="16"/>
      <c r="AH1192" s="16"/>
      <c r="AI1192" s="16"/>
      <c r="AJ1192" s="16"/>
      <c r="AK1192" s="16"/>
      <c r="AL1192" s="16"/>
      <c r="AM1192" s="16"/>
      <c r="AN1192" s="16"/>
    </row>
    <row r="1193" spans="1:40" x14ac:dyDescent="0.25">
      <c r="A1193" s="16"/>
      <c r="B1193" s="27"/>
      <c r="C1193" s="9"/>
      <c r="D1193" s="6"/>
      <c r="E1193" s="1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  <c r="V1193" s="16"/>
      <c r="W1193" s="16"/>
      <c r="X1193" s="16"/>
      <c r="Y1193" s="16"/>
      <c r="Z1193" s="16"/>
      <c r="AA1193" s="16"/>
      <c r="AB1193" s="16"/>
      <c r="AC1193" s="16"/>
      <c r="AD1193" s="16"/>
      <c r="AE1193" s="16"/>
      <c r="AF1193" s="16"/>
      <c r="AG1193" s="16"/>
      <c r="AH1193" s="16"/>
      <c r="AI1193" s="16"/>
      <c r="AJ1193" s="16"/>
      <c r="AK1193" s="16"/>
      <c r="AL1193" s="16"/>
      <c r="AM1193" s="16"/>
      <c r="AN1193" s="16"/>
    </row>
    <row r="1194" spans="1:40" x14ac:dyDescent="0.25">
      <c r="A1194" s="16"/>
      <c r="B1194" s="27"/>
      <c r="C1194" s="9"/>
      <c r="D1194" s="6"/>
      <c r="E1194" s="1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  <c r="V1194" s="16"/>
      <c r="W1194" s="16"/>
      <c r="X1194" s="16"/>
      <c r="Y1194" s="16"/>
      <c r="Z1194" s="16"/>
      <c r="AA1194" s="16"/>
      <c r="AB1194" s="16"/>
      <c r="AC1194" s="16"/>
      <c r="AD1194" s="16"/>
      <c r="AE1194" s="16"/>
      <c r="AF1194" s="16"/>
      <c r="AG1194" s="16"/>
      <c r="AH1194" s="16"/>
      <c r="AI1194" s="16"/>
      <c r="AJ1194" s="16"/>
      <c r="AK1194" s="16"/>
      <c r="AL1194" s="16"/>
      <c r="AM1194" s="16"/>
      <c r="AN1194" s="16"/>
    </row>
    <row r="1195" spans="1:40" x14ac:dyDescent="0.25">
      <c r="A1195" s="16"/>
      <c r="B1195" s="27"/>
      <c r="C1195" s="9"/>
      <c r="D1195" s="6"/>
      <c r="E1195" s="1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  <c r="V1195" s="16"/>
      <c r="W1195" s="16"/>
      <c r="X1195" s="16"/>
      <c r="Y1195" s="16"/>
      <c r="Z1195" s="16"/>
      <c r="AA1195" s="16"/>
      <c r="AB1195" s="16"/>
      <c r="AC1195" s="16"/>
      <c r="AD1195" s="16"/>
      <c r="AE1195" s="16"/>
      <c r="AF1195" s="16"/>
      <c r="AG1195" s="16"/>
      <c r="AH1195" s="16"/>
      <c r="AI1195" s="16"/>
      <c r="AJ1195" s="16"/>
      <c r="AK1195" s="16"/>
      <c r="AL1195" s="16"/>
      <c r="AM1195" s="16"/>
      <c r="AN1195" s="16"/>
    </row>
    <row r="1196" spans="1:40" x14ac:dyDescent="0.25">
      <c r="A1196" s="16"/>
      <c r="B1196" s="27"/>
      <c r="C1196" s="9"/>
      <c r="D1196" s="6"/>
      <c r="E1196" s="1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  <c r="V1196" s="16"/>
      <c r="W1196" s="16"/>
      <c r="X1196" s="16"/>
      <c r="Y1196" s="16"/>
      <c r="Z1196" s="16"/>
      <c r="AA1196" s="16"/>
      <c r="AB1196" s="16"/>
      <c r="AC1196" s="16"/>
      <c r="AD1196" s="16"/>
      <c r="AE1196" s="16"/>
      <c r="AF1196" s="16"/>
      <c r="AG1196" s="16"/>
      <c r="AH1196" s="16"/>
      <c r="AI1196" s="16"/>
      <c r="AJ1196" s="16"/>
      <c r="AK1196" s="16"/>
      <c r="AL1196" s="16"/>
      <c r="AM1196" s="16"/>
      <c r="AN1196" s="16"/>
    </row>
    <row r="1197" spans="1:40" x14ac:dyDescent="0.25">
      <c r="A1197" s="16"/>
      <c r="B1197" s="27"/>
      <c r="C1197" s="9"/>
      <c r="D1197" s="6"/>
      <c r="E1197" s="1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  <c r="V1197" s="16"/>
      <c r="W1197" s="16"/>
      <c r="X1197" s="16"/>
      <c r="Y1197" s="16"/>
      <c r="Z1197" s="16"/>
      <c r="AA1197" s="16"/>
      <c r="AB1197" s="16"/>
      <c r="AC1197" s="16"/>
      <c r="AD1197" s="16"/>
      <c r="AE1197" s="16"/>
      <c r="AF1197" s="16"/>
      <c r="AG1197" s="16"/>
      <c r="AH1197" s="16"/>
      <c r="AI1197" s="16"/>
      <c r="AJ1197" s="16"/>
      <c r="AK1197" s="16"/>
      <c r="AL1197" s="16"/>
      <c r="AM1197" s="16"/>
      <c r="AN1197" s="16"/>
    </row>
    <row r="1198" spans="1:40" x14ac:dyDescent="0.25">
      <c r="A1198" s="16"/>
      <c r="B1198" s="27"/>
      <c r="C1198" s="9"/>
      <c r="D1198" s="6"/>
      <c r="E1198" s="1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  <c r="V1198" s="16"/>
      <c r="W1198" s="16"/>
      <c r="X1198" s="16"/>
      <c r="Y1198" s="16"/>
      <c r="Z1198" s="16"/>
      <c r="AA1198" s="16"/>
      <c r="AB1198" s="16"/>
      <c r="AC1198" s="16"/>
      <c r="AD1198" s="16"/>
      <c r="AE1198" s="16"/>
      <c r="AF1198" s="16"/>
      <c r="AG1198" s="16"/>
      <c r="AH1198" s="16"/>
      <c r="AI1198" s="16"/>
      <c r="AJ1198" s="16"/>
      <c r="AK1198" s="16"/>
      <c r="AL1198" s="16"/>
      <c r="AM1198" s="16"/>
      <c r="AN1198" s="16"/>
    </row>
    <row r="1199" spans="1:40" x14ac:dyDescent="0.25">
      <c r="A1199" s="16"/>
      <c r="B1199" s="27"/>
      <c r="C1199" s="9"/>
      <c r="D1199" s="6"/>
      <c r="E1199" s="1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  <c r="V1199" s="16"/>
      <c r="W1199" s="16"/>
      <c r="X1199" s="16"/>
      <c r="Y1199" s="16"/>
      <c r="Z1199" s="16"/>
      <c r="AA1199" s="16"/>
      <c r="AB1199" s="16"/>
      <c r="AC1199" s="16"/>
      <c r="AD1199" s="16"/>
      <c r="AE1199" s="16"/>
      <c r="AF1199" s="16"/>
      <c r="AG1199" s="16"/>
      <c r="AH1199" s="16"/>
      <c r="AI1199" s="16"/>
      <c r="AJ1199" s="16"/>
      <c r="AK1199" s="16"/>
      <c r="AL1199" s="16"/>
      <c r="AM1199" s="16"/>
      <c r="AN1199" s="16"/>
    </row>
    <row r="1200" spans="1:40" x14ac:dyDescent="0.25">
      <c r="A1200" s="16"/>
      <c r="B1200" s="27"/>
      <c r="C1200" s="9"/>
      <c r="D1200" s="6"/>
      <c r="E1200" s="1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  <c r="V1200" s="16"/>
      <c r="W1200" s="16"/>
      <c r="X1200" s="16"/>
      <c r="Y1200" s="16"/>
      <c r="Z1200" s="16"/>
      <c r="AA1200" s="16"/>
      <c r="AB1200" s="16"/>
      <c r="AC1200" s="16"/>
      <c r="AD1200" s="16"/>
      <c r="AE1200" s="16"/>
      <c r="AF1200" s="16"/>
      <c r="AG1200" s="16"/>
      <c r="AH1200" s="16"/>
      <c r="AI1200" s="16"/>
      <c r="AJ1200" s="16"/>
      <c r="AK1200" s="16"/>
      <c r="AL1200" s="16"/>
      <c r="AM1200" s="16"/>
      <c r="AN1200" s="16"/>
    </row>
    <row r="1201" spans="1:40" x14ac:dyDescent="0.25">
      <c r="A1201" s="16"/>
      <c r="B1201" s="27"/>
      <c r="C1201" s="9"/>
      <c r="D1201" s="6"/>
      <c r="E1201" s="1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  <c r="V1201" s="16"/>
      <c r="W1201" s="16"/>
      <c r="X1201" s="16"/>
      <c r="Y1201" s="16"/>
      <c r="Z1201" s="16"/>
      <c r="AA1201" s="16"/>
      <c r="AB1201" s="16"/>
      <c r="AC1201" s="16"/>
      <c r="AD1201" s="16"/>
      <c r="AE1201" s="16"/>
      <c r="AF1201" s="16"/>
      <c r="AG1201" s="16"/>
      <c r="AH1201" s="16"/>
      <c r="AI1201" s="16"/>
      <c r="AJ1201" s="16"/>
      <c r="AK1201" s="16"/>
      <c r="AL1201" s="16"/>
      <c r="AM1201" s="16"/>
      <c r="AN1201" s="16"/>
    </row>
    <row r="1202" spans="1:40" x14ac:dyDescent="0.25">
      <c r="A1202" s="16"/>
      <c r="B1202" s="27"/>
      <c r="C1202" s="9"/>
      <c r="D1202" s="6"/>
      <c r="E1202" s="1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  <c r="V1202" s="16"/>
      <c r="W1202" s="16"/>
      <c r="X1202" s="16"/>
      <c r="Y1202" s="16"/>
      <c r="Z1202" s="16"/>
      <c r="AA1202" s="16"/>
      <c r="AB1202" s="16"/>
      <c r="AC1202" s="16"/>
      <c r="AD1202" s="16"/>
      <c r="AE1202" s="16"/>
      <c r="AF1202" s="16"/>
      <c r="AG1202" s="16"/>
      <c r="AH1202" s="16"/>
      <c r="AI1202" s="16"/>
      <c r="AJ1202" s="16"/>
      <c r="AK1202" s="16"/>
      <c r="AL1202" s="16"/>
      <c r="AM1202" s="16"/>
      <c r="AN1202" s="16"/>
    </row>
    <row r="1203" spans="1:40" x14ac:dyDescent="0.25">
      <c r="A1203" s="16"/>
      <c r="B1203" s="27"/>
      <c r="C1203" s="9"/>
      <c r="D1203" s="6"/>
      <c r="E1203" s="1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  <c r="V1203" s="16"/>
      <c r="W1203" s="16"/>
      <c r="X1203" s="16"/>
      <c r="Y1203" s="16"/>
      <c r="Z1203" s="16"/>
      <c r="AA1203" s="16"/>
      <c r="AB1203" s="16"/>
      <c r="AC1203" s="16"/>
      <c r="AD1203" s="16"/>
      <c r="AE1203" s="16"/>
      <c r="AF1203" s="16"/>
      <c r="AG1203" s="16"/>
      <c r="AH1203" s="16"/>
      <c r="AI1203" s="16"/>
      <c r="AJ1203" s="16"/>
      <c r="AK1203" s="16"/>
      <c r="AL1203" s="16"/>
      <c r="AM1203" s="16"/>
      <c r="AN1203" s="16"/>
    </row>
    <row r="1204" spans="1:40" x14ac:dyDescent="0.25">
      <c r="A1204" s="16"/>
      <c r="B1204" s="27"/>
      <c r="C1204" s="9"/>
      <c r="D1204" s="6"/>
      <c r="E1204" s="1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  <c r="V1204" s="16"/>
      <c r="W1204" s="16"/>
      <c r="X1204" s="16"/>
      <c r="Y1204" s="16"/>
      <c r="Z1204" s="16"/>
      <c r="AA1204" s="16"/>
      <c r="AB1204" s="16"/>
      <c r="AC1204" s="16"/>
      <c r="AD1204" s="16"/>
      <c r="AE1204" s="16"/>
      <c r="AF1204" s="16"/>
      <c r="AG1204" s="16"/>
      <c r="AH1204" s="16"/>
      <c r="AI1204" s="16"/>
      <c r="AJ1204" s="16"/>
      <c r="AK1204" s="16"/>
      <c r="AL1204" s="16"/>
      <c r="AM1204" s="16"/>
      <c r="AN1204" s="16"/>
    </row>
    <row r="1205" spans="1:40" x14ac:dyDescent="0.25">
      <c r="A1205" s="16"/>
      <c r="B1205" s="27"/>
      <c r="C1205" s="9"/>
      <c r="D1205" s="6"/>
      <c r="E1205" s="1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  <c r="V1205" s="16"/>
      <c r="W1205" s="16"/>
      <c r="X1205" s="16"/>
      <c r="Y1205" s="16"/>
      <c r="Z1205" s="16"/>
      <c r="AA1205" s="16"/>
      <c r="AB1205" s="16"/>
      <c r="AC1205" s="16"/>
      <c r="AD1205" s="16"/>
      <c r="AE1205" s="16"/>
      <c r="AF1205" s="16"/>
      <c r="AG1205" s="16"/>
      <c r="AH1205" s="16"/>
      <c r="AI1205" s="16"/>
      <c r="AJ1205" s="16"/>
      <c r="AK1205" s="16"/>
      <c r="AL1205" s="16"/>
      <c r="AM1205" s="16"/>
      <c r="AN1205" s="16"/>
    </row>
    <row r="1206" spans="1:40" x14ac:dyDescent="0.25">
      <c r="A1206" s="16"/>
      <c r="B1206" s="27"/>
      <c r="C1206" s="9"/>
      <c r="D1206" s="6"/>
      <c r="E1206" s="1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  <c r="V1206" s="16"/>
      <c r="W1206" s="16"/>
      <c r="X1206" s="16"/>
      <c r="Y1206" s="16"/>
      <c r="Z1206" s="16"/>
      <c r="AA1206" s="16"/>
      <c r="AB1206" s="16"/>
      <c r="AC1206" s="16"/>
      <c r="AD1206" s="16"/>
      <c r="AE1206" s="16"/>
      <c r="AF1206" s="16"/>
      <c r="AG1206" s="16"/>
      <c r="AH1206" s="16"/>
      <c r="AI1206" s="16"/>
      <c r="AJ1206" s="16"/>
      <c r="AK1206" s="16"/>
      <c r="AL1206" s="16"/>
      <c r="AM1206" s="16"/>
      <c r="AN1206" s="16"/>
    </row>
    <row r="1207" spans="1:40" x14ac:dyDescent="0.25">
      <c r="A1207" s="16"/>
      <c r="B1207" s="27"/>
      <c r="C1207" s="9"/>
      <c r="D1207" s="6"/>
      <c r="E1207" s="1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  <c r="V1207" s="16"/>
      <c r="W1207" s="16"/>
      <c r="X1207" s="16"/>
      <c r="Y1207" s="16"/>
      <c r="Z1207" s="16"/>
      <c r="AA1207" s="16"/>
      <c r="AB1207" s="16"/>
      <c r="AC1207" s="16"/>
      <c r="AD1207" s="16"/>
      <c r="AE1207" s="16"/>
      <c r="AF1207" s="16"/>
      <c r="AG1207" s="16"/>
      <c r="AH1207" s="16"/>
      <c r="AI1207" s="16"/>
      <c r="AJ1207" s="16"/>
      <c r="AK1207" s="16"/>
      <c r="AL1207" s="16"/>
      <c r="AM1207" s="16"/>
      <c r="AN1207" s="16"/>
    </row>
    <row r="1208" spans="1:40" x14ac:dyDescent="0.25">
      <c r="A1208" s="16"/>
      <c r="B1208" s="27"/>
      <c r="C1208" s="9"/>
      <c r="D1208" s="6"/>
      <c r="E1208" s="1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  <c r="V1208" s="16"/>
      <c r="W1208" s="16"/>
      <c r="X1208" s="16"/>
      <c r="Y1208" s="16"/>
      <c r="Z1208" s="16"/>
      <c r="AA1208" s="16"/>
      <c r="AB1208" s="16"/>
      <c r="AC1208" s="16"/>
      <c r="AD1208" s="16"/>
      <c r="AE1208" s="16"/>
      <c r="AF1208" s="16"/>
      <c r="AG1208" s="16"/>
      <c r="AH1208" s="16"/>
      <c r="AI1208" s="16"/>
      <c r="AJ1208" s="16"/>
      <c r="AK1208" s="16"/>
      <c r="AL1208" s="16"/>
      <c r="AM1208" s="16"/>
      <c r="AN1208" s="16"/>
    </row>
    <row r="1209" spans="1:40" x14ac:dyDescent="0.25">
      <c r="A1209" s="16"/>
      <c r="B1209" s="27"/>
      <c r="C1209" s="9"/>
      <c r="D1209" s="6"/>
      <c r="E1209" s="1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  <c r="V1209" s="16"/>
      <c r="W1209" s="16"/>
      <c r="X1209" s="16"/>
      <c r="Y1209" s="16"/>
      <c r="Z1209" s="16"/>
      <c r="AA1209" s="16"/>
      <c r="AB1209" s="16"/>
      <c r="AC1209" s="16"/>
      <c r="AD1209" s="16"/>
      <c r="AE1209" s="16"/>
      <c r="AF1209" s="16"/>
      <c r="AG1209" s="16"/>
      <c r="AH1209" s="16"/>
      <c r="AI1209" s="16"/>
      <c r="AJ1209" s="16"/>
      <c r="AK1209" s="16"/>
      <c r="AL1209" s="16"/>
      <c r="AM1209" s="16"/>
      <c r="AN1209" s="16"/>
    </row>
    <row r="1210" spans="1:40" x14ac:dyDescent="0.25">
      <c r="A1210" s="16"/>
      <c r="B1210" s="27"/>
      <c r="C1210" s="9"/>
      <c r="D1210" s="6"/>
      <c r="E1210" s="1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  <c r="V1210" s="16"/>
      <c r="W1210" s="16"/>
      <c r="X1210" s="16"/>
      <c r="Y1210" s="16"/>
      <c r="Z1210" s="16"/>
      <c r="AA1210" s="16"/>
      <c r="AB1210" s="16"/>
      <c r="AC1210" s="16"/>
      <c r="AD1210" s="16"/>
      <c r="AE1210" s="16"/>
      <c r="AF1210" s="16"/>
      <c r="AG1210" s="16"/>
      <c r="AH1210" s="16"/>
      <c r="AI1210" s="16"/>
      <c r="AJ1210" s="16"/>
      <c r="AK1210" s="16"/>
      <c r="AL1210" s="16"/>
      <c r="AM1210" s="16"/>
      <c r="AN1210" s="16"/>
    </row>
    <row r="1211" spans="1:40" x14ac:dyDescent="0.25">
      <c r="A1211" s="16"/>
      <c r="B1211" s="27"/>
      <c r="C1211" s="9"/>
      <c r="D1211" s="6"/>
      <c r="E1211" s="1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  <c r="V1211" s="16"/>
      <c r="W1211" s="16"/>
      <c r="X1211" s="16"/>
      <c r="Y1211" s="16"/>
      <c r="Z1211" s="16"/>
      <c r="AA1211" s="16"/>
      <c r="AB1211" s="16"/>
      <c r="AC1211" s="16"/>
      <c r="AD1211" s="16"/>
      <c r="AE1211" s="16"/>
      <c r="AF1211" s="16"/>
      <c r="AG1211" s="16"/>
      <c r="AH1211" s="16"/>
      <c r="AI1211" s="16"/>
      <c r="AJ1211" s="16"/>
      <c r="AK1211" s="16"/>
      <c r="AL1211" s="16"/>
      <c r="AM1211" s="16"/>
      <c r="AN1211" s="16"/>
    </row>
    <row r="1212" spans="1:40" x14ac:dyDescent="0.25">
      <c r="A1212" s="16"/>
      <c r="B1212" s="27"/>
      <c r="C1212" s="9"/>
      <c r="D1212" s="6"/>
      <c r="E1212" s="1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  <c r="V1212" s="16"/>
      <c r="W1212" s="16"/>
      <c r="X1212" s="16"/>
      <c r="Y1212" s="16"/>
      <c r="Z1212" s="16"/>
      <c r="AA1212" s="16"/>
      <c r="AB1212" s="16"/>
      <c r="AC1212" s="16"/>
      <c r="AD1212" s="16"/>
      <c r="AE1212" s="16"/>
      <c r="AF1212" s="16"/>
      <c r="AG1212" s="16"/>
      <c r="AH1212" s="16"/>
      <c r="AI1212" s="16"/>
      <c r="AJ1212" s="16"/>
      <c r="AK1212" s="16"/>
      <c r="AL1212" s="16"/>
      <c r="AM1212" s="16"/>
      <c r="AN1212" s="16"/>
    </row>
    <row r="1213" spans="1:40" x14ac:dyDescent="0.25">
      <c r="A1213" s="16"/>
      <c r="B1213" s="27"/>
      <c r="C1213" s="9"/>
      <c r="D1213" s="6"/>
      <c r="E1213" s="1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  <c r="V1213" s="16"/>
      <c r="W1213" s="16"/>
      <c r="X1213" s="16"/>
      <c r="Y1213" s="16"/>
      <c r="Z1213" s="16"/>
      <c r="AA1213" s="16"/>
      <c r="AB1213" s="16"/>
      <c r="AC1213" s="16"/>
      <c r="AD1213" s="16"/>
      <c r="AE1213" s="16"/>
      <c r="AF1213" s="16"/>
      <c r="AG1213" s="16"/>
      <c r="AH1213" s="16"/>
      <c r="AI1213" s="16"/>
      <c r="AJ1213" s="16"/>
      <c r="AK1213" s="16"/>
      <c r="AL1213" s="16"/>
      <c r="AM1213" s="16"/>
      <c r="AN1213" s="16"/>
    </row>
    <row r="1214" spans="1:40" x14ac:dyDescent="0.25">
      <c r="A1214" s="16"/>
      <c r="B1214" s="27"/>
      <c r="C1214" s="9"/>
      <c r="D1214" s="6"/>
      <c r="E1214" s="1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  <c r="V1214" s="16"/>
      <c r="W1214" s="16"/>
      <c r="X1214" s="16"/>
      <c r="Y1214" s="16"/>
      <c r="Z1214" s="16"/>
      <c r="AA1214" s="16"/>
      <c r="AB1214" s="16"/>
      <c r="AC1214" s="16"/>
      <c r="AD1214" s="16"/>
      <c r="AE1214" s="16"/>
      <c r="AF1214" s="16"/>
      <c r="AG1214" s="16"/>
      <c r="AH1214" s="16"/>
      <c r="AI1214" s="16"/>
      <c r="AJ1214" s="16"/>
      <c r="AK1214" s="16"/>
      <c r="AL1214" s="16"/>
      <c r="AM1214" s="16"/>
      <c r="AN1214" s="16"/>
    </row>
    <row r="1215" spans="1:40" x14ac:dyDescent="0.25">
      <c r="A1215" s="16"/>
      <c r="B1215" s="27"/>
      <c r="C1215" s="9"/>
      <c r="D1215" s="6"/>
      <c r="E1215" s="1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  <c r="V1215" s="16"/>
      <c r="W1215" s="16"/>
      <c r="X1215" s="16"/>
      <c r="Y1215" s="16"/>
      <c r="Z1215" s="16"/>
      <c r="AA1215" s="16"/>
      <c r="AB1215" s="16"/>
      <c r="AC1215" s="16"/>
      <c r="AD1215" s="16"/>
      <c r="AE1215" s="16"/>
      <c r="AF1215" s="16"/>
      <c r="AG1215" s="16"/>
      <c r="AH1215" s="16"/>
      <c r="AI1215" s="16"/>
      <c r="AJ1215" s="16"/>
      <c r="AK1215" s="16"/>
      <c r="AL1215" s="16"/>
      <c r="AM1215" s="16"/>
      <c r="AN1215" s="16"/>
    </row>
    <row r="1216" spans="1:40" x14ac:dyDescent="0.25">
      <c r="A1216" s="16"/>
      <c r="B1216" s="27"/>
      <c r="C1216" s="9"/>
      <c r="D1216" s="6"/>
      <c r="E1216" s="1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  <c r="V1216" s="16"/>
      <c r="W1216" s="16"/>
      <c r="X1216" s="16"/>
      <c r="Y1216" s="16"/>
      <c r="Z1216" s="16"/>
      <c r="AA1216" s="16"/>
      <c r="AB1216" s="16"/>
      <c r="AC1216" s="16"/>
      <c r="AD1216" s="16"/>
      <c r="AE1216" s="16"/>
      <c r="AF1216" s="16"/>
      <c r="AG1216" s="16"/>
      <c r="AH1216" s="16"/>
      <c r="AI1216" s="16"/>
      <c r="AJ1216" s="16"/>
      <c r="AK1216" s="16"/>
      <c r="AL1216" s="16"/>
      <c r="AM1216" s="16"/>
      <c r="AN1216" s="16"/>
    </row>
    <row r="1217" spans="1:40" x14ac:dyDescent="0.25">
      <c r="A1217" s="16"/>
      <c r="B1217" s="27"/>
      <c r="C1217" s="9"/>
      <c r="D1217" s="6"/>
      <c r="E1217" s="1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  <c r="V1217" s="16"/>
      <c r="W1217" s="16"/>
      <c r="X1217" s="16"/>
      <c r="Y1217" s="16"/>
      <c r="Z1217" s="16"/>
      <c r="AA1217" s="16"/>
      <c r="AB1217" s="16"/>
      <c r="AC1217" s="16"/>
      <c r="AD1217" s="16"/>
      <c r="AE1217" s="16"/>
      <c r="AF1217" s="16"/>
      <c r="AG1217" s="16"/>
      <c r="AH1217" s="16"/>
      <c r="AI1217" s="16"/>
      <c r="AJ1217" s="16"/>
      <c r="AK1217" s="16"/>
      <c r="AL1217" s="16"/>
      <c r="AM1217" s="16"/>
      <c r="AN1217" s="16"/>
    </row>
    <row r="1218" spans="1:40" x14ac:dyDescent="0.25">
      <c r="A1218" s="16"/>
      <c r="B1218" s="27"/>
      <c r="C1218" s="9"/>
      <c r="D1218" s="6"/>
      <c r="E1218" s="1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  <c r="V1218" s="16"/>
      <c r="W1218" s="16"/>
      <c r="X1218" s="16"/>
      <c r="Y1218" s="16"/>
      <c r="Z1218" s="16"/>
      <c r="AA1218" s="16"/>
      <c r="AB1218" s="16"/>
      <c r="AC1218" s="16"/>
      <c r="AD1218" s="16"/>
      <c r="AE1218" s="16"/>
      <c r="AF1218" s="16"/>
      <c r="AG1218" s="16"/>
      <c r="AH1218" s="16"/>
      <c r="AI1218" s="16"/>
      <c r="AJ1218" s="16"/>
      <c r="AK1218" s="16"/>
      <c r="AL1218" s="16"/>
      <c r="AM1218" s="16"/>
      <c r="AN1218" s="16"/>
    </row>
    <row r="1219" spans="1:40" x14ac:dyDescent="0.25">
      <c r="A1219" s="16"/>
      <c r="B1219" s="27"/>
      <c r="C1219" s="9"/>
      <c r="D1219" s="6"/>
      <c r="E1219" s="1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  <c r="V1219" s="16"/>
      <c r="W1219" s="16"/>
      <c r="X1219" s="16"/>
      <c r="Y1219" s="16"/>
      <c r="Z1219" s="16"/>
      <c r="AA1219" s="16"/>
      <c r="AB1219" s="16"/>
      <c r="AC1219" s="16"/>
      <c r="AD1219" s="16"/>
      <c r="AE1219" s="16"/>
      <c r="AF1219" s="16"/>
      <c r="AG1219" s="16"/>
      <c r="AH1219" s="16"/>
      <c r="AI1219" s="16"/>
      <c r="AJ1219" s="16"/>
      <c r="AK1219" s="16"/>
      <c r="AL1219" s="16"/>
      <c r="AM1219" s="16"/>
      <c r="AN1219" s="16"/>
    </row>
    <row r="1220" spans="1:40" x14ac:dyDescent="0.25">
      <c r="A1220" s="16"/>
      <c r="B1220" s="27"/>
      <c r="C1220" s="9"/>
      <c r="D1220" s="6"/>
      <c r="E1220" s="1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  <c r="V1220" s="16"/>
      <c r="W1220" s="16"/>
      <c r="X1220" s="16"/>
      <c r="Y1220" s="16"/>
      <c r="Z1220" s="16"/>
      <c r="AA1220" s="16"/>
      <c r="AB1220" s="16"/>
      <c r="AC1220" s="16"/>
      <c r="AD1220" s="16"/>
      <c r="AE1220" s="16"/>
      <c r="AF1220" s="16"/>
      <c r="AG1220" s="16"/>
      <c r="AH1220" s="16"/>
      <c r="AI1220" s="16"/>
      <c r="AJ1220" s="16"/>
      <c r="AK1220" s="16"/>
      <c r="AL1220" s="16"/>
      <c r="AM1220" s="16"/>
      <c r="AN1220" s="16"/>
    </row>
    <row r="1221" spans="1:40" x14ac:dyDescent="0.25">
      <c r="A1221" s="16"/>
      <c r="B1221" s="27"/>
      <c r="C1221" s="9"/>
      <c r="D1221" s="6"/>
      <c r="E1221" s="1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  <c r="V1221" s="16"/>
      <c r="W1221" s="16"/>
      <c r="X1221" s="16"/>
      <c r="Y1221" s="16"/>
      <c r="Z1221" s="16"/>
      <c r="AA1221" s="16"/>
      <c r="AB1221" s="16"/>
      <c r="AC1221" s="16"/>
      <c r="AD1221" s="16"/>
      <c r="AE1221" s="16"/>
      <c r="AF1221" s="16"/>
      <c r="AG1221" s="16"/>
      <c r="AH1221" s="16"/>
      <c r="AI1221" s="16"/>
      <c r="AJ1221" s="16"/>
      <c r="AK1221" s="16"/>
      <c r="AL1221" s="16"/>
      <c r="AM1221" s="16"/>
      <c r="AN1221" s="16"/>
    </row>
    <row r="1222" spans="1:40" x14ac:dyDescent="0.25">
      <c r="A1222" s="16"/>
      <c r="B1222" s="27"/>
      <c r="C1222" s="9"/>
      <c r="D1222" s="6"/>
      <c r="E1222" s="1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  <c r="V1222" s="16"/>
      <c r="W1222" s="16"/>
      <c r="X1222" s="16"/>
      <c r="Y1222" s="16"/>
      <c r="Z1222" s="16"/>
      <c r="AA1222" s="16"/>
      <c r="AB1222" s="16"/>
      <c r="AC1222" s="16"/>
      <c r="AD1222" s="16"/>
      <c r="AE1222" s="16"/>
      <c r="AF1222" s="16"/>
      <c r="AG1222" s="16"/>
      <c r="AH1222" s="16"/>
      <c r="AI1222" s="16"/>
      <c r="AJ1222" s="16"/>
      <c r="AK1222" s="16"/>
      <c r="AL1222" s="16"/>
      <c r="AM1222" s="16"/>
      <c r="AN1222" s="16"/>
    </row>
    <row r="1223" spans="1:40" x14ac:dyDescent="0.25">
      <c r="A1223" s="16"/>
      <c r="B1223" s="27"/>
      <c r="C1223" s="9"/>
      <c r="D1223" s="6"/>
      <c r="E1223" s="1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  <c r="V1223" s="16"/>
      <c r="W1223" s="16"/>
      <c r="X1223" s="16"/>
      <c r="Y1223" s="16"/>
      <c r="Z1223" s="16"/>
      <c r="AA1223" s="16"/>
      <c r="AB1223" s="16"/>
      <c r="AC1223" s="16"/>
      <c r="AD1223" s="16"/>
      <c r="AE1223" s="16"/>
      <c r="AF1223" s="16"/>
      <c r="AG1223" s="16"/>
      <c r="AH1223" s="16"/>
      <c r="AI1223" s="16"/>
      <c r="AJ1223" s="16"/>
      <c r="AK1223" s="16"/>
      <c r="AL1223" s="16"/>
      <c r="AM1223" s="16"/>
      <c r="AN1223" s="16"/>
    </row>
    <row r="1224" spans="1:40" x14ac:dyDescent="0.25">
      <c r="A1224" s="16"/>
      <c r="B1224" s="27"/>
      <c r="C1224" s="9"/>
      <c r="D1224" s="6"/>
      <c r="E1224" s="1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  <c r="V1224" s="16"/>
      <c r="W1224" s="16"/>
      <c r="X1224" s="16"/>
      <c r="Y1224" s="16"/>
      <c r="Z1224" s="16"/>
      <c r="AA1224" s="16"/>
      <c r="AB1224" s="16"/>
      <c r="AC1224" s="16"/>
      <c r="AD1224" s="16"/>
      <c r="AE1224" s="16"/>
      <c r="AF1224" s="16"/>
      <c r="AG1224" s="16"/>
      <c r="AH1224" s="16"/>
      <c r="AI1224" s="16"/>
      <c r="AJ1224" s="16"/>
      <c r="AK1224" s="16"/>
      <c r="AL1224" s="16"/>
      <c r="AM1224" s="16"/>
      <c r="AN1224" s="16"/>
    </row>
    <row r="1225" spans="1:40" x14ac:dyDescent="0.25">
      <c r="A1225" s="16"/>
      <c r="B1225" s="27"/>
      <c r="C1225" s="9"/>
      <c r="D1225" s="6"/>
      <c r="E1225" s="1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  <c r="V1225" s="16"/>
      <c r="W1225" s="16"/>
      <c r="X1225" s="16"/>
      <c r="Y1225" s="16"/>
      <c r="Z1225" s="16"/>
      <c r="AA1225" s="16"/>
      <c r="AB1225" s="16"/>
      <c r="AC1225" s="16"/>
      <c r="AD1225" s="16"/>
      <c r="AE1225" s="16"/>
      <c r="AF1225" s="16"/>
      <c r="AG1225" s="16"/>
      <c r="AH1225" s="16"/>
      <c r="AI1225" s="16"/>
      <c r="AJ1225" s="16"/>
      <c r="AK1225" s="16"/>
      <c r="AL1225" s="16"/>
      <c r="AM1225" s="16"/>
      <c r="AN1225" s="16"/>
    </row>
    <row r="1226" spans="1:40" x14ac:dyDescent="0.25">
      <c r="A1226" s="16"/>
      <c r="B1226" s="27"/>
      <c r="C1226" s="9"/>
      <c r="D1226" s="6"/>
      <c r="E1226" s="1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  <c r="V1226" s="16"/>
      <c r="W1226" s="16"/>
      <c r="X1226" s="16"/>
      <c r="Y1226" s="16"/>
      <c r="Z1226" s="16"/>
      <c r="AA1226" s="16"/>
      <c r="AB1226" s="16"/>
      <c r="AC1226" s="16"/>
      <c r="AD1226" s="16"/>
      <c r="AE1226" s="16"/>
      <c r="AF1226" s="16"/>
      <c r="AG1226" s="16"/>
      <c r="AH1226" s="16"/>
      <c r="AI1226" s="16"/>
      <c r="AJ1226" s="16"/>
      <c r="AK1226" s="16"/>
      <c r="AL1226" s="16"/>
      <c r="AM1226" s="16"/>
      <c r="AN1226" s="16"/>
    </row>
    <row r="1227" spans="1:40" x14ac:dyDescent="0.25">
      <c r="A1227" s="16"/>
      <c r="B1227" s="27"/>
      <c r="C1227" s="9"/>
      <c r="D1227" s="6"/>
      <c r="E1227" s="1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  <c r="V1227" s="16"/>
      <c r="W1227" s="16"/>
      <c r="X1227" s="16"/>
      <c r="Y1227" s="16"/>
      <c r="Z1227" s="16"/>
      <c r="AA1227" s="16"/>
      <c r="AB1227" s="16"/>
      <c r="AC1227" s="16"/>
      <c r="AD1227" s="16"/>
      <c r="AE1227" s="16"/>
      <c r="AF1227" s="16"/>
      <c r="AG1227" s="16"/>
      <c r="AH1227" s="16"/>
      <c r="AI1227" s="16"/>
      <c r="AJ1227" s="16"/>
      <c r="AK1227" s="16"/>
      <c r="AL1227" s="16"/>
      <c r="AM1227" s="16"/>
      <c r="AN1227" s="16"/>
    </row>
    <row r="1228" spans="1:40" x14ac:dyDescent="0.25">
      <c r="A1228" s="16"/>
      <c r="B1228" s="27"/>
      <c r="C1228" s="9"/>
      <c r="D1228" s="6"/>
      <c r="E1228" s="1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  <c r="V1228" s="16"/>
      <c r="W1228" s="16"/>
      <c r="X1228" s="16"/>
      <c r="Y1228" s="16"/>
      <c r="Z1228" s="16"/>
      <c r="AA1228" s="16"/>
      <c r="AB1228" s="16"/>
      <c r="AC1228" s="16"/>
      <c r="AD1228" s="16"/>
      <c r="AE1228" s="16"/>
      <c r="AF1228" s="16"/>
      <c r="AG1228" s="16"/>
      <c r="AH1228" s="16"/>
      <c r="AI1228" s="16"/>
      <c r="AJ1228" s="16"/>
      <c r="AK1228" s="16"/>
      <c r="AL1228" s="16"/>
      <c r="AM1228" s="16"/>
      <c r="AN1228" s="16"/>
    </row>
    <row r="1229" spans="1:40" x14ac:dyDescent="0.25">
      <c r="A1229" s="16"/>
      <c r="B1229" s="27"/>
      <c r="C1229" s="9"/>
      <c r="D1229" s="6"/>
      <c r="E1229" s="1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  <c r="V1229" s="16"/>
      <c r="W1229" s="16"/>
      <c r="X1229" s="16"/>
      <c r="Y1229" s="16"/>
      <c r="Z1229" s="16"/>
      <c r="AA1229" s="16"/>
      <c r="AB1229" s="16"/>
      <c r="AC1229" s="16"/>
      <c r="AD1229" s="16"/>
      <c r="AE1229" s="16"/>
      <c r="AF1229" s="16"/>
      <c r="AG1229" s="16"/>
      <c r="AH1229" s="16"/>
      <c r="AI1229" s="16"/>
      <c r="AJ1229" s="16"/>
      <c r="AK1229" s="16"/>
      <c r="AL1229" s="16"/>
      <c r="AM1229" s="16"/>
      <c r="AN1229" s="16"/>
    </row>
    <row r="1230" spans="1:40" x14ac:dyDescent="0.25">
      <c r="A1230" s="16"/>
      <c r="B1230" s="27"/>
      <c r="C1230" s="9"/>
      <c r="D1230" s="6"/>
      <c r="E1230" s="1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  <c r="V1230" s="16"/>
      <c r="W1230" s="16"/>
      <c r="X1230" s="16"/>
      <c r="Y1230" s="16"/>
      <c r="Z1230" s="16"/>
      <c r="AA1230" s="16"/>
      <c r="AB1230" s="16"/>
      <c r="AC1230" s="16"/>
      <c r="AD1230" s="16"/>
      <c r="AE1230" s="16"/>
      <c r="AF1230" s="16"/>
      <c r="AG1230" s="16"/>
      <c r="AH1230" s="16"/>
      <c r="AI1230" s="16"/>
      <c r="AJ1230" s="16"/>
      <c r="AK1230" s="16"/>
      <c r="AL1230" s="16"/>
      <c r="AM1230" s="16"/>
      <c r="AN1230" s="16"/>
    </row>
    <row r="1231" spans="1:40" x14ac:dyDescent="0.25">
      <c r="A1231" s="16"/>
      <c r="B1231" s="27"/>
      <c r="C1231" s="9"/>
      <c r="D1231" s="6"/>
      <c r="E1231" s="1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  <c r="V1231" s="16"/>
      <c r="W1231" s="16"/>
      <c r="X1231" s="16"/>
      <c r="Y1231" s="16"/>
      <c r="Z1231" s="16"/>
      <c r="AA1231" s="16"/>
      <c r="AB1231" s="16"/>
      <c r="AC1231" s="16"/>
      <c r="AD1231" s="16"/>
      <c r="AE1231" s="16"/>
      <c r="AF1231" s="16"/>
      <c r="AG1231" s="16"/>
      <c r="AH1231" s="16"/>
      <c r="AI1231" s="16"/>
      <c r="AJ1231" s="16"/>
      <c r="AK1231" s="16"/>
      <c r="AL1231" s="16"/>
      <c r="AM1231" s="16"/>
      <c r="AN1231" s="16"/>
    </row>
    <row r="1232" spans="1:40" x14ac:dyDescent="0.25">
      <c r="A1232" s="16"/>
      <c r="B1232" s="27"/>
      <c r="C1232" s="9"/>
      <c r="D1232" s="6"/>
      <c r="E1232" s="1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  <c r="V1232" s="16"/>
      <c r="W1232" s="16"/>
      <c r="X1232" s="16"/>
      <c r="Y1232" s="16"/>
      <c r="Z1232" s="16"/>
      <c r="AA1232" s="16"/>
      <c r="AB1232" s="16"/>
      <c r="AC1232" s="16"/>
      <c r="AD1232" s="16"/>
      <c r="AE1232" s="16"/>
      <c r="AF1232" s="16"/>
      <c r="AG1232" s="16"/>
      <c r="AH1232" s="16"/>
      <c r="AI1232" s="16"/>
      <c r="AJ1232" s="16"/>
      <c r="AK1232" s="16"/>
      <c r="AL1232" s="16"/>
      <c r="AM1232" s="16"/>
      <c r="AN1232" s="16"/>
    </row>
    <row r="1233" spans="1:40" x14ac:dyDescent="0.25">
      <c r="A1233" s="16"/>
      <c r="B1233" s="27"/>
      <c r="C1233" s="9"/>
      <c r="D1233" s="6"/>
      <c r="E1233" s="1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  <c r="V1233" s="16"/>
      <c r="W1233" s="16"/>
      <c r="X1233" s="16"/>
      <c r="Y1233" s="16"/>
      <c r="Z1233" s="16"/>
      <c r="AA1233" s="16"/>
      <c r="AB1233" s="16"/>
      <c r="AC1233" s="16"/>
      <c r="AD1233" s="16"/>
      <c r="AE1233" s="16"/>
      <c r="AF1233" s="16"/>
      <c r="AG1233" s="16"/>
      <c r="AH1233" s="16"/>
      <c r="AI1233" s="16"/>
      <c r="AJ1233" s="16"/>
      <c r="AK1233" s="16"/>
      <c r="AL1233" s="16"/>
      <c r="AM1233" s="16"/>
      <c r="AN1233" s="16"/>
    </row>
    <row r="1234" spans="1:40" x14ac:dyDescent="0.25">
      <c r="A1234" s="16"/>
      <c r="B1234" s="27"/>
      <c r="C1234" s="9"/>
      <c r="D1234" s="6"/>
      <c r="E1234" s="1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  <c r="V1234" s="16"/>
      <c r="W1234" s="16"/>
      <c r="X1234" s="16"/>
      <c r="Y1234" s="16"/>
      <c r="Z1234" s="16"/>
      <c r="AA1234" s="16"/>
      <c r="AB1234" s="16"/>
      <c r="AC1234" s="16"/>
      <c r="AD1234" s="16"/>
      <c r="AE1234" s="16"/>
      <c r="AF1234" s="16"/>
      <c r="AG1234" s="16"/>
      <c r="AH1234" s="16"/>
      <c r="AI1234" s="16"/>
      <c r="AJ1234" s="16"/>
      <c r="AK1234" s="16"/>
      <c r="AL1234" s="16"/>
      <c r="AM1234" s="16"/>
      <c r="AN1234" s="16"/>
    </row>
    <row r="1235" spans="1:40" x14ac:dyDescent="0.25">
      <c r="A1235" s="16"/>
      <c r="B1235" s="27"/>
      <c r="C1235" s="9"/>
      <c r="D1235" s="6"/>
      <c r="E1235" s="1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  <c r="V1235" s="16"/>
      <c r="W1235" s="16"/>
      <c r="X1235" s="16"/>
      <c r="Y1235" s="16"/>
      <c r="Z1235" s="16"/>
      <c r="AA1235" s="16"/>
      <c r="AB1235" s="16"/>
      <c r="AC1235" s="16"/>
      <c r="AD1235" s="16"/>
      <c r="AE1235" s="16"/>
      <c r="AF1235" s="16"/>
      <c r="AG1235" s="16"/>
      <c r="AH1235" s="16"/>
      <c r="AI1235" s="16"/>
      <c r="AJ1235" s="16"/>
      <c r="AK1235" s="16"/>
      <c r="AL1235" s="16"/>
      <c r="AM1235" s="16"/>
      <c r="AN1235" s="16"/>
    </row>
    <row r="1236" spans="1:40" x14ac:dyDescent="0.25">
      <c r="A1236" s="16"/>
      <c r="B1236" s="27"/>
      <c r="C1236" s="9"/>
      <c r="D1236" s="6"/>
      <c r="E1236" s="1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  <c r="V1236" s="16"/>
      <c r="W1236" s="16"/>
      <c r="X1236" s="16"/>
      <c r="Y1236" s="16"/>
      <c r="Z1236" s="16"/>
      <c r="AA1236" s="16"/>
      <c r="AB1236" s="16"/>
      <c r="AC1236" s="16"/>
      <c r="AD1236" s="16"/>
      <c r="AE1236" s="16"/>
      <c r="AF1236" s="16"/>
      <c r="AG1236" s="16"/>
      <c r="AH1236" s="16"/>
      <c r="AI1236" s="16"/>
      <c r="AJ1236" s="16"/>
      <c r="AK1236" s="16"/>
      <c r="AL1236" s="16"/>
      <c r="AM1236" s="16"/>
      <c r="AN1236" s="16"/>
    </row>
    <row r="1237" spans="1:40" x14ac:dyDescent="0.25">
      <c r="A1237" s="16"/>
      <c r="B1237" s="27"/>
      <c r="C1237" s="9"/>
      <c r="D1237" s="6"/>
      <c r="E1237" s="1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  <c r="V1237" s="16"/>
      <c r="W1237" s="16"/>
      <c r="X1237" s="16"/>
      <c r="Y1237" s="16"/>
      <c r="Z1237" s="16"/>
      <c r="AA1237" s="16"/>
      <c r="AB1237" s="16"/>
      <c r="AC1237" s="16"/>
      <c r="AD1237" s="16"/>
      <c r="AE1237" s="16"/>
      <c r="AF1237" s="16"/>
      <c r="AG1237" s="16"/>
      <c r="AH1237" s="16"/>
      <c r="AI1237" s="16"/>
      <c r="AJ1237" s="16"/>
      <c r="AK1237" s="16"/>
      <c r="AL1237" s="16"/>
      <c r="AM1237" s="16"/>
      <c r="AN1237" s="16"/>
    </row>
    <row r="1238" spans="1:40" x14ac:dyDescent="0.25">
      <c r="A1238" s="16"/>
      <c r="B1238" s="27"/>
      <c r="C1238" s="9"/>
      <c r="D1238" s="6"/>
      <c r="E1238" s="1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  <c r="V1238" s="16"/>
      <c r="W1238" s="16"/>
      <c r="X1238" s="16"/>
      <c r="Y1238" s="16"/>
      <c r="Z1238" s="16"/>
      <c r="AA1238" s="16"/>
      <c r="AB1238" s="16"/>
      <c r="AC1238" s="16"/>
      <c r="AD1238" s="16"/>
      <c r="AE1238" s="16"/>
      <c r="AF1238" s="16"/>
      <c r="AG1238" s="16"/>
      <c r="AH1238" s="16"/>
      <c r="AI1238" s="16"/>
      <c r="AJ1238" s="16"/>
      <c r="AK1238" s="16"/>
      <c r="AL1238" s="16"/>
      <c r="AM1238" s="16"/>
      <c r="AN1238" s="16"/>
    </row>
    <row r="1239" spans="1:40" x14ac:dyDescent="0.25">
      <c r="A1239" s="16"/>
      <c r="B1239" s="27"/>
      <c r="C1239" s="9"/>
      <c r="D1239" s="6"/>
      <c r="E1239" s="1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  <c r="V1239" s="16"/>
      <c r="W1239" s="16"/>
      <c r="X1239" s="16"/>
      <c r="Y1239" s="16"/>
      <c r="Z1239" s="16"/>
      <c r="AA1239" s="16"/>
      <c r="AB1239" s="16"/>
      <c r="AC1239" s="16"/>
      <c r="AD1239" s="16"/>
      <c r="AE1239" s="16"/>
      <c r="AF1239" s="16"/>
      <c r="AG1239" s="16"/>
      <c r="AH1239" s="16"/>
      <c r="AI1239" s="16"/>
      <c r="AJ1239" s="16"/>
      <c r="AK1239" s="16"/>
      <c r="AL1239" s="16"/>
      <c r="AM1239" s="16"/>
      <c r="AN1239" s="16"/>
    </row>
    <row r="1240" spans="1:40" x14ac:dyDescent="0.25">
      <c r="A1240" s="16"/>
      <c r="B1240" s="27"/>
      <c r="C1240" s="9"/>
      <c r="D1240" s="6"/>
      <c r="E1240" s="1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  <c r="V1240" s="16"/>
      <c r="W1240" s="16"/>
      <c r="X1240" s="16"/>
      <c r="Y1240" s="16"/>
      <c r="Z1240" s="16"/>
      <c r="AA1240" s="16"/>
      <c r="AB1240" s="16"/>
      <c r="AC1240" s="16"/>
      <c r="AD1240" s="16"/>
      <c r="AE1240" s="16"/>
      <c r="AF1240" s="16"/>
      <c r="AG1240" s="16"/>
      <c r="AH1240" s="16"/>
      <c r="AI1240" s="16"/>
      <c r="AJ1240" s="16"/>
      <c r="AK1240" s="16"/>
      <c r="AL1240" s="16"/>
      <c r="AM1240" s="16"/>
      <c r="AN1240" s="16"/>
    </row>
    <row r="1241" spans="1:40" x14ac:dyDescent="0.25">
      <c r="A1241" s="16"/>
      <c r="B1241" s="27"/>
      <c r="C1241" s="9"/>
      <c r="D1241" s="6"/>
      <c r="E1241" s="1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  <c r="V1241" s="16"/>
      <c r="W1241" s="16"/>
      <c r="X1241" s="16"/>
      <c r="Y1241" s="16"/>
      <c r="Z1241" s="16"/>
      <c r="AA1241" s="16"/>
      <c r="AB1241" s="16"/>
      <c r="AC1241" s="16"/>
      <c r="AD1241" s="16"/>
      <c r="AE1241" s="16"/>
      <c r="AF1241" s="16"/>
      <c r="AG1241" s="16"/>
      <c r="AH1241" s="16"/>
      <c r="AI1241" s="16"/>
      <c r="AJ1241" s="16"/>
      <c r="AK1241" s="16"/>
      <c r="AL1241" s="16"/>
      <c r="AM1241" s="16"/>
      <c r="AN1241" s="16"/>
    </row>
    <row r="1242" spans="1:40" x14ac:dyDescent="0.25">
      <c r="A1242" s="16"/>
      <c r="B1242" s="27"/>
      <c r="C1242" s="9"/>
      <c r="D1242" s="6"/>
      <c r="E1242" s="1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  <c r="V1242" s="16"/>
      <c r="W1242" s="16"/>
      <c r="X1242" s="16"/>
      <c r="Y1242" s="16"/>
      <c r="Z1242" s="16"/>
      <c r="AA1242" s="16"/>
      <c r="AB1242" s="16"/>
      <c r="AC1242" s="16"/>
      <c r="AD1242" s="16"/>
      <c r="AE1242" s="16"/>
      <c r="AF1242" s="16"/>
      <c r="AG1242" s="16"/>
      <c r="AH1242" s="16"/>
      <c r="AI1242" s="16"/>
      <c r="AJ1242" s="16"/>
      <c r="AK1242" s="16"/>
      <c r="AL1242" s="16"/>
      <c r="AM1242" s="16"/>
      <c r="AN1242" s="16"/>
    </row>
    <row r="1243" spans="1:40" x14ac:dyDescent="0.25">
      <c r="A1243" s="16"/>
      <c r="B1243" s="27"/>
      <c r="C1243" s="9"/>
      <c r="D1243" s="6"/>
      <c r="E1243" s="1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  <c r="V1243" s="16"/>
      <c r="W1243" s="16"/>
      <c r="X1243" s="16"/>
      <c r="Y1243" s="16"/>
      <c r="Z1243" s="16"/>
      <c r="AA1243" s="16"/>
      <c r="AB1243" s="16"/>
      <c r="AC1243" s="16"/>
      <c r="AD1243" s="16"/>
      <c r="AE1243" s="16"/>
      <c r="AF1243" s="16"/>
      <c r="AG1243" s="16"/>
      <c r="AH1243" s="16"/>
      <c r="AI1243" s="16"/>
      <c r="AJ1243" s="16"/>
      <c r="AK1243" s="16"/>
      <c r="AL1243" s="16"/>
      <c r="AM1243" s="16"/>
      <c r="AN1243" s="16"/>
    </row>
    <row r="1244" spans="1:40" x14ac:dyDescent="0.25">
      <c r="A1244" s="16"/>
      <c r="B1244" s="27"/>
      <c r="C1244" s="9"/>
      <c r="D1244" s="6"/>
      <c r="E1244" s="1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  <c r="V1244" s="16"/>
      <c r="W1244" s="16"/>
      <c r="X1244" s="16"/>
      <c r="Y1244" s="16"/>
      <c r="Z1244" s="16"/>
      <c r="AA1244" s="16"/>
      <c r="AB1244" s="16"/>
      <c r="AC1244" s="16"/>
      <c r="AD1244" s="16"/>
      <c r="AE1244" s="16"/>
      <c r="AF1244" s="16"/>
      <c r="AG1244" s="16"/>
      <c r="AH1244" s="16"/>
      <c r="AI1244" s="16"/>
      <c r="AJ1244" s="16"/>
      <c r="AK1244" s="16"/>
      <c r="AL1244" s="16"/>
      <c r="AM1244" s="16"/>
      <c r="AN1244" s="16"/>
    </row>
    <row r="1245" spans="1:40" x14ac:dyDescent="0.25">
      <c r="A1245" s="16"/>
      <c r="B1245" s="27"/>
      <c r="C1245" s="9"/>
      <c r="D1245" s="6"/>
      <c r="E1245" s="1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  <c r="V1245" s="16"/>
      <c r="W1245" s="16"/>
      <c r="X1245" s="16"/>
      <c r="Y1245" s="16"/>
      <c r="Z1245" s="16"/>
      <c r="AA1245" s="16"/>
      <c r="AB1245" s="16"/>
      <c r="AC1245" s="16"/>
      <c r="AD1245" s="16"/>
      <c r="AE1245" s="16"/>
      <c r="AF1245" s="16"/>
      <c r="AG1245" s="16"/>
      <c r="AH1245" s="16"/>
      <c r="AI1245" s="16"/>
      <c r="AJ1245" s="16"/>
      <c r="AK1245" s="16"/>
      <c r="AL1245" s="16"/>
      <c r="AM1245" s="16"/>
      <c r="AN1245" s="16"/>
    </row>
    <row r="1246" spans="1:40" x14ac:dyDescent="0.25">
      <c r="A1246" s="16"/>
      <c r="B1246" s="27"/>
      <c r="C1246" s="9"/>
      <c r="D1246" s="6"/>
      <c r="E1246" s="1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  <c r="V1246" s="16"/>
      <c r="W1246" s="16"/>
      <c r="X1246" s="16"/>
      <c r="Y1246" s="16"/>
      <c r="Z1246" s="16"/>
      <c r="AA1246" s="16"/>
      <c r="AB1246" s="16"/>
      <c r="AC1246" s="16"/>
      <c r="AD1246" s="16"/>
      <c r="AE1246" s="16"/>
      <c r="AF1246" s="16"/>
      <c r="AG1246" s="16"/>
      <c r="AH1246" s="16"/>
      <c r="AI1246" s="16"/>
      <c r="AJ1246" s="16"/>
      <c r="AK1246" s="16"/>
      <c r="AL1246" s="16"/>
      <c r="AM1246" s="16"/>
      <c r="AN1246" s="16"/>
    </row>
    <row r="1247" spans="1:40" x14ac:dyDescent="0.25">
      <c r="A1247" s="16"/>
      <c r="B1247" s="27"/>
      <c r="C1247" s="9"/>
      <c r="D1247" s="6"/>
      <c r="E1247" s="1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  <c r="V1247" s="16"/>
      <c r="W1247" s="16"/>
      <c r="X1247" s="16"/>
      <c r="Y1247" s="16"/>
      <c r="Z1247" s="16"/>
      <c r="AA1247" s="16"/>
      <c r="AB1247" s="16"/>
      <c r="AC1247" s="16"/>
      <c r="AD1247" s="16"/>
      <c r="AE1247" s="16"/>
      <c r="AF1247" s="16"/>
      <c r="AG1247" s="16"/>
      <c r="AH1247" s="16"/>
      <c r="AI1247" s="16"/>
      <c r="AJ1247" s="16"/>
      <c r="AK1247" s="16"/>
      <c r="AL1247" s="16"/>
      <c r="AM1247" s="16"/>
      <c r="AN1247" s="16"/>
    </row>
    <row r="1248" spans="1:40" x14ac:dyDescent="0.25">
      <c r="A1248" s="16"/>
      <c r="B1248" s="27"/>
      <c r="C1248" s="9"/>
      <c r="D1248" s="6"/>
      <c r="E1248" s="1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  <c r="V1248" s="16"/>
      <c r="W1248" s="16"/>
      <c r="X1248" s="16"/>
      <c r="Y1248" s="16"/>
      <c r="Z1248" s="16"/>
      <c r="AA1248" s="16"/>
      <c r="AB1248" s="16"/>
      <c r="AC1248" s="16"/>
      <c r="AD1248" s="16"/>
      <c r="AE1248" s="16"/>
      <c r="AF1248" s="16"/>
      <c r="AG1248" s="16"/>
      <c r="AH1248" s="16"/>
      <c r="AI1248" s="16"/>
      <c r="AJ1248" s="16"/>
      <c r="AK1248" s="16"/>
      <c r="AL1248" s="16"/>
      <c r="AM1248" s="16"/>
      <c r="AN1248" s="16"/>
    </row>
    <row r="1249" spans="1:40" x14ac:dyDescent="0.25">
      <c r="A1249" s="16"/>
      <c r="B1249" s="27"/>
      <c r="C1249" s="9"/>
      <c r="D1249" s="6"/>
      <c r="E1249" s="1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  <c r="V1249" s="16"/>
      <c r="W1249" s="16"/>
      <c r="X1249" s="16"/>
      <c r="Y1249" s="16"/>
      <c r="Z1249" s="16"/>
      <c r="AA1249" s="16"/>
      <c r="AB1249" s="16"/>
      <c r="AC1249" s="16"/>
      <c r="AD1249" s="16"/>
      <c r="AE1249" s="16"/>
      <c r="AF1249" s="16"/>
      <c r="AG1249" s="16"/>
      <c r="AH1249" s="16"/>
      <c r="AI1249" s="16"/>
      <c r="AJ1249" s="16"/>
      <c r="AK1249" s="16"/>
      <c r="AL1249" s="16"/>
      <c r="AM1249" s="16"/>
      <c r="AN1249" s="16"/>
    </row>
    <row r="1250" spans="1:40" x14ac:dyDescent="0.25">
      <c r="A1250" s="16"/>
      <c r="B1250" s="27"/>
      <c r="C1250" s="9"/>
      <c r="D1250" s="6"/>
      <c r="E1250" s="1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  <c r="V1250" s="16"/>
      <c r="W1250" s="16"/>
      <c r="X1250" s="16"/>
      <c r="Y1250" s="16"/>
      <c r="Z1250" s="16"/>
      <c r="AA1250" s="16"/>
      <c r="AB1250" s="16"/>
      <c r="AC1250" s="16"/>
      <c r="AD1250" s="16"/>
      <c r="AE1250" s="16"/>
      <c r="AF1250" s="16"/>
      <c r="AG1250" s="16"/>
      <c r="AH1250" s="16"/>
      <c r="AI1250" s="16"/>
      <c r="AJ1250" s="16"/>
      <c r="AK1250" s="16"/>
      <c r="AL1250" s="16"/>
      <c r="AM1250" s="16"/>
      <c r="AN1250" s="16"/>
    </row>
    <row r="1251" spans="1:40" x14ac:dyDescent="0.25">
      <c r="A1251" s="16"/>
      <c r="B1251" s="27"/>
      <c r="C1251" s="9"/>
      <c r="D1251" s="6"/>
      <c r="E1251" s="1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  <c r="V1251" s="16"/>
      <c r="W1251" s="16"/>
      <c r="X1251" s="16"/>
      <c r="Y1251" s="16"/>
      <c r="Z1251" s="16"/>
      <c r="AA1251" s="16"/>
      <c r="AB1251" s="16"/>
      <c r="AC1251" s="16"/>
      <c r="AD1251" s="16"/>
      <c r="AE1251" s="16"/>
      <c r="AF1251" s="16"/>
      <c r="AG1251" s="16"/>
      <c r="AH1251" s="16"/>
      <c r="AI1251" s="16"/>
      <c r="AJ1251" s="16"/>
      <c r="AK1251" s="16"/>
      <c r="AL1251" s="16"/>
      <c r="AM1251" s="16"/>
      <c r="AN1251" s="16"/>
    </row>
    <row r="1252" spans="1:40" x14ac:dyDescent="0.25">
      <c r="A1252" s="16"/>
      <c r="B1252" s="27"/>
      <c r="C1252" s="9"/>
      <c r="D1252" s="6"/>
      <c r="E1252" s="1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  <c r="V1252" s="16"/>
      <c r="W1252" s="16"/>
      <c r="X1252" s="16"/>
      <c r="Y1252" s="16"/>
      <c r="Z1252" s="16"/>
      <c r="AA1252" s="16"/>
      <c r="AB1252" s="16"/>
      <c r="AC1252" s="16"/>
      <c r="AD1252" s="16"/>
      <c r="AE1252" s="16"/>
      <c r="AF1252" s="16"/>
      <c r="AG1252" s="16"/>
      <c r="AH1252" s="16"/>
      <c r="AI1252" s="16"/>
      <c r="AJ1252" s="16"/>
      <c r="AK1252" s="16"/>
      <c r="AL1252" s="16"/>
      <c r="AM1252" s="16"/>
      <c r="AN1252" s="16"/>
    </row>
    <row r="1253" spans="1:40" x14ac:dyDescent="0.25">
      <c r="A1253" s="16"/>
      <c r="B1253" s="27"/>
      <c r="C1253" s="9"/>
      <c r="D1253" s="6"/>
      <c r="E1253" s="1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  <c r="V1253" s="16"/>
      <c r="W1253" s="16"/>
      <c r="X1253" s="16"/>
      <c r="Y1253" s="16"/>
      <c r="Z1253" s="16"/>
      <c r="AA1253" s="16"/>
      <c r="AB1253" s="16"/>
      <c r="AC1253" s="16"/>
      <c r="AD1253" s="16"/>
      <c r="AE1253" s="16"/>
      <c r="AF1253" s="16"/>
      <c r="AG1253" s="16"/>
      <c r="AH1253" s="16"/>
      <c r="AI1253" s="16"/>
      <c r="AJ1253" s="16"/>
      <c r="AK1253" s="16"/>
      <c r="AL1253" s="16"/>
      <c r="AM1253" s="16"/>
      <c r="AN1253" s="16"/>
    </row>
    <row r="1254" spans="1:40" x14ac:dyDescent="0.25">
      <c r="A1254" s="16"/>
      <c r="B1254" s="27"/>
      <c r="C1254" s="9"/>
      <c r="D1254" s="6"/>
      <c r="E1254" s="1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  <c r="V1254" s="16"/>
      <c r="W1254" s="16"/>
      <c r="X1254" s="16"/>
      <c r="Y1254" s="16"/>
      <c r="Z1254" s="16"/>
      <c r="AA1254" s="16"/>
      <c r="AB1254" s="16"/>
      <c r="AC1254" s="16"/>
      <c r="AD1254" s="16"/>
      <c r="AE1254" s="16"/>
      <c r="AF1254" s="16"/>
      <c r="AG1254" s="16"/>
      <c r="AH1254" s="16"/>
      <c r="AI1254" s="16"/>
      <c r="AJ1254" s="16"/>
      <c r="AK1254" s="16"/>
      <c r="AL1254" s="16"/>
      <c r="AM1254" s="16"/>
      <c r="AN1254" s="16"/>
    </row>
    <row r="1255" spans="1:40" x14ac:dyDescent="0.25">
      <c r="A1255" s="16"/>
      <c r="B1255" s="27"/>
      <c r="C1255" s="9"/>
      <c r="D1255" s="6"/>
      <c r="E1255" s="1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  <c r="V1255" s="16"/>
      <c r="W1255" s="16"/>
      <c r="X1255" s="16"/>
      <c r="Y1255" s="16"/>
      <c r="Z1255" s="16"/>
      <c r="AA1255" s="16"/>
      <c r="AB1255" s="16"/>
      <c r="AC1255" s="16"/>
      <c r="AD1255" s="16"/>
      <c r="AE1255" s="16"/>
      <c r="AF1255" s="16"/>
      <c r="AG1255" s="16"/>
      <c r="AH1255" s="16"/>
      <c r="AI1255" s="16"/>
      <c r="AJ1255" s="16"/>
      <c r="AK1255" s="16"/>
      <c r="AL1255" s="16"/>
      <c r="AM1255" s="16"/>
      <c r="AN1255" s="16"/>
    </row>
    <row r="1256" spans="1:40" x14ac:dyDescent="0.25">
      <c r="A1256" s="16"/>
      <c r="B1256" s="27"/>
      <c r="C1256" s="9"/>
      <c r="D1256" s="6"/>
      <c r="E1256" s="1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  <c r="V1256" s="16"/>
      <c r="W1256" s="16"/>
      <c r="X1256" s="16"/>
      <c r="Y1256" s="16"/>
      <c r="Z1256" s="16"/>
      <c r="AA1256" s="16"/>
      <c r="AB1256" s="16"/>
      <c r="AC1256" s="16"/>
      <c r="AD1256" s="16"/>
      <c r="AE1256" s="16"/>
      <c r="AF1256" s="16"/>
      <c r="AG1256" s="16"/>
      <c r="AH1256" s="16"/>
      <c r="AI1256" s="16"/>
      <c r="AJ1256" s="16"/>
      <c r="AK1256" s="16"/>
      <c r="AL1256" s="16"/>
      <c r="AM1256" s="16"/>
      <c r="AN1256" s="16"/>
    </row>
    <row r="1257" spans="1:40" x14ac:dyDescent="0.25">
      <c r="A1257" s="16"/>
      <c r="B1257" s="27"/>
      <c r="C1257" s="9"/>
      <c r="D1257" s="6"/>
      <c r="E1257" s="1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  <c r="V1257" s="16"/>
      <c r="W1257" s="16"/>
      <c r="X1257" s="16"/>
      <c r="Y1257" s="16"/>
      <c r="Z1257" s="16"/>
      <c r="AA1257" s="16"/>
      <c r="AB1257" s="16"/>
      <c r="AC1257" s="16"/>
      <c r="AD1257" s="16"/>
      <c r="AE1257" s="16"/>
      <c r="AF1257" s="16"/>
      <c r="AG1257" s="16"/>
      <c r="AH1257" s="16"/>
      <c r="AI1257" s="16"/>
      <c r="AJ1257" s="16"/>
      <c r="AK1257" s="16"/>
      <c r="AL1257" s="16"/>
      <c r="AM1257" s="16"/>
      <c r="AN1257" s="16"/>
    </row>
    <row r="1258" spans="1:40" x14ac:dyDescent="0.25">
      <c r="A1258" s="16"/>
      <c r="B1258" s="27"/>
      <c r="C1258" s="9"/>
      <c r="D1258" s="6"/>
      <c r="E1258" s="1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  <c r="V1258" s="16"/>
      <c r="W1258" s="16"/>
      <c r="X1258" s="16"/>
      <c r="Y1258" s="16"/>
      <c r="Z1258" s="16"/>
      <c r="AA1258" s="16"/>
      <c r="AB1258" s="16"/>
      <c r="AC1258" s="16"/>
      <c r="AD1258" s="16"/>
      <c r="AE1258" s="16"/>
      <c r="AF1258" s="16"/>
      <c r="AG1258" s="16"/>
      <c r="AH1258" s="16"/>
      <c r="AI1258" s="16"/>
      <c r="AJ1258" s="16"/>
      <c r="AK1258" s="16"/>
      <c r="AL1258" s="16"/>
      <c r="AM1258" s="16"/>
      <c r="AN1258" s="16"/>
    </row>
    <row r="1259" spans="1:40" x14ac:dyDescent="0.25">
      <c r="A1259" s="16"/>
      <c r="B1259" s="27"/>
      <c r="C1259" s="9"/>
      <c r="D1259" s="6"/>
      <c r="E1259" s="1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  <c r="V1259" s="16"/>
      <c r="W1259" s="16"/>
      <c r="X1259" s="16"/>
      <c r="Y1259" s="16"/>
      <c r="Z1259" s="16"/>
      <c r="AA1259" s="16"/>
      <c r="AB1259" s="16"/>
      <c r="AC1259" s="16"/>
      <c r="AD1259" s="16"/>
      <c r="AE1259" s="16"/>
      <c r="AF1259" s="16"/>
      <c r="AG1259" s="16"/>
      <c r="AH1259" s="16"/>
      <c r="AI1259" s="16"/>
      <c r="AJ1259" s="16"/>
      <c r="AK1259" s="16"/>
      <c r="AL1259" s="16"/>
      <c r="AM1259" s="16"/>
      <c r="AN1259" s="16"/>
    </row>
    <row r="1260" spans="1:40" x14ac:dyDescent="0.25">
      <c r="A1260" s="16"/>
      <c r="B1260" s="27"/>
      <c r="C1260" s="9"/>
      <c r="D1260" s="6"/>
      <c r="E1260" s="1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  <c r="V1260" s="16"/>
      <c r="W1260" s="16"/>
      <c r="X1260" s="16"/>
      <c r="Y1260" s="16"/>
      <c r="Z1260" s="16"/>
      <c r="AA1260" s="16"/>
      <c r="AB1260" s="16"/>
      <c r="AC1260" s="16"/>
      <c r="AD1260" s="16"/>
      <c r="AE1260" s="16"/>
      <c r="AF1260" s="16"/>
      <c r="AG1260" s="16"/>
      <c r="AH1260" s="16"/>
      <c r="AI1260" s="16"/>
      <c r="AJ1260" s="16"/>
      <c r="AK1260" s="16"/>
      <c r="AL1260" s="16"/>
      <c r="AM1260" s="16"/>
      <c r="AN1260" s="16"/>
    </row>
    <row r="1261" spans="1:40" x14ac:dyDescent="0.25">
      <c r="A1261" s="16"/>
      <c r="B1261" s="27"/>
      <c r="C1261" s="9"/>
      <c r="D1261" s="6"/>
      <c r="E1261" s="1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  <c r="V1261" s="16"/>
      <c r="W1261" s="16"/>
      <c r="X1261" s="16"/>
      <c r="Y1261" s="16"/>
      <c r="Z1261" s="16"/>
      <c r="AA1261" s="16"/>
      <c r="AB1261" s="16"/>
      <c r="AC1261" s="16"/>
      <c r="AD1261" s="16"/>
      <c r="AE1261" s="16"/>
      <c r="AF1261" s="16"/>
      <c r="AG1261" s="16"/>
      <c r="AH1261" s="16"/>
      <c r="AI1261" s="16"/>
      <c r="AJ1261" s="16"/>
      <c r="AK1261" s="16"/>
      <c r="AL1261" s="16"/>
      <c r="AM1261" s="16"/>
      <c r="AN1261" s="16"/>
    </row>
    <row r="1262" spans="1:40" x14ac:dyDescent="0.25">
      <c r="A1262" s="16"/>
      <c r="B1262" s="27"/>
      <c r="C1262" s="9"/>
      <c r="D1262" s="6"/>
      <c r="E1262" s="1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  <c r="V1262" s="16"/>
      <c r="W1262" s="16"/>
      <c r="X1262" s="16"/>
      <c r="Y1262" s="16"/>
      <c r="Z1262" s="16"/>
      <c r="AA1262" s="16"/>
      <c r="AB1262" s="16"/>
      <c r="AC1262" s="16"/>
      <c r="AD1262" s="16"/>
      <c r="AE1262" s="16"/>
      <c r="AF1262" s="16"/>
      <c r="AG1262" s="16"/>
      <c r="AH1262" s="16"/>
      <c r="AI1262" s="16"/>
      <c r="AJ1262" s="16"/>
      <c r="AK1262" s="16"/>
      <c r="AL1262" s="16"/>
      <c r="AM1262" s="16"/>
      <c r="AN1262" s="16"/>
    </row>
    <row r="1263" spans="1:40" x14ac:dyDescent="0.25">
      <c r="A1263" s="16"/>
      <c r="B1263" s="27"/>
      <c r="C1263" s="9"/>
      <c r="D1263" s="6"/>
      <c r="E1263" s="1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  <c r="V1263" s="16"/>
      <c r="W1263" s="16"/>
      <c r="X1263" s="16"/>
      <c r="Y1263" s="16"/>
      <c r="Z1263" s="16"/>
      <c r="AA1263" s="16"/>
      <c r="AB1263" s="16"/>
      <c r="AC1263" s="16"/>
      <c r="AD1263" s="16"/>
      <c r="AE1263" s="16"/>
      <c r="AF1263" s="16"/>
      <c r="AG1263" s="16"/>
      <c r="AH1263" s="16"/>
      <c r="AI1263" s="16"/>
      <c r="AJ1263" s="16"/>
      <c r="AK1263" s="16"/>
      <c r="AL1263" s="16"/>
      <c r="AM1263" s="16"/>
      <c r="AN1263" s="16"/>
    </row>
    <row r="1264" spans="1:40" x14ac:dyDescent="0.25">
      <c r="A1264" s="16"/>
      <c r="B1264" s="27"/>
      <c r="C1264" s="9"/>
      <c r="D1264" s="6"/>
      <c r="E1264" s="1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  <c r="V1264" s="16"/>
      <c r="W1264" s="16"/>
      <c r="X1264" s="16"/>
      <c r="Y1264" s="16"/>
      <c r="Z1264" s="16"/>
      <c r="AA1264" s="16"/>
      <c r="AB1264" s="16"/>
      <c r="AC1264" s="16"/>
      <c r="AD1264" s="16"/>
      <c r="AE1264" s="16"/>
      <c r="AF1264" s="16"/>
      <c r="AG1264" s="16"/>
      <c r="AH1264" s="16"/>
      <c r="AI1264" s="16"/>
      <c r="AJ1264" s="16"/>
      <c r="AK1264" s="16"/>
      <c r="AL1264" s="16"/>
      <c r="AM1264" s="16"/>
      <c r="AN1264" s="16"/>
    </row>
    <row r="1265" spans="1:40" x14ac:dyDescent="0.25">
      <c r="A1265" s="16"/>
      <c r="B1265" s="27"/>
      <c r="C1265" s="9"/>
      <c r="D1265" s="6"/>
      <c r="E1265" s="1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  <c r="V1265" s="16"/>
      <c r="W1265" s="16"/>
      <c r="X1265" s="16"/>
      <c r="Y1265" s="16"/>
      <c r="Z1265" s="16"/>
      <c r="AA1265" s="16"/>
      <c r="AB1265" s="16"/>
      <c r="AC1265" s="16"/>
      <c r="AD1265" s="16"/>
      <c r="AE1265" s="16"/>
      <c r="AF1265" s="16"/>
      <c r="AG1265" s="16"/>
      <c r="AH1265" s="16"/>
      <c r="AI1265" s="16"/>
      <c r="AJ1265" s="16"/>
      <c r="AK1265" s="16"/>
      <c r="AL1265" s="16"/>
      <c r="AM1265" s="16"/>
      <c r="AN1265" s="16"/>
    </row>
    <row r="1266" spans="1:40" x14ac:dyDescent="0.25">
      <c r="A1266" s="16"/>
      <c r="B1266" s="27"/>
      <c r="C1266" s="9"/>
      <c r="D1266" s="6"/>
      <c r="E1266" s="1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  <c r="V1266" s="16"/>
      <c r="W1266" s="16"/>
      <c r="X1266" s="16"/>
      <c r="Y1266" s="16"/>
      <c r="Z1266" s="16"/>
      <c r="AA1266" s="16"/>
      <c r="AB1266" s="16"/>
      <c r="AC1266" s="16"/>
      <c r="AD1266" s="16"/>
      <c r="AE1266" s="16"/>
      <c r="AF1266" s="16"/>
      <c r="AG1266" s="16"/>
      <c r="AH1266" s="16"/>
      <c r="AI1266" s="16"/>
      <c r="AJ1266" s="16"/>
      <c r="AK1266" s="16"/>
      <c r="AL1266" s="16"/>
      <c r="AM1266" s="16"/>
      <c r="AN1266" s="16"/>
    </row>
    <row r="1267" spans="1:40" x14ac:dyDescent="0.25">
      <c r="A1267" s="16"/>
      <c r="B1267" s="27"/>
      <c r="C1267" s="9"/>
      <c r="D1267" s="6"/>
      <c r="E1267" s="1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  <c r="V1267" s="16"/>
      <c r="W1267" s="16"/>
      <c r="X1267" s="16"/>
      <c r="Y1267" s="16"/>
      <c r="Z1267" s="16"/>
      <c r="AA1267" s="16"/>
      <c r="AB1267" s="16"/>
      <c r="AC1267" s="16"/>
      <c r="AD1267" s="16"/>
      <c r="AE1267" s="16"/>
      <c r="AF1267" s="16"/>
      <c r="AG1267" s="16"/>
      <c r="AH1267" s="16"/>
      <c r="AI1267" s="16"/>
      <c r="AJ1267" s="16"/>
      <c r="AK1267" s="16"/>
      <c r="AL1267" s="16"/>
      <c r="AM1267" s="16"/>
      <c r="AN1267" s="16"/>
    </row>
    <row r="1268" spans="1:40" x14ac:dyDescent="0.25">
      <c r="A1268" s="16"/>
      <c r="B1268" s="27"/>
      <c r="C1268" s="9"/>
      <c r="D1268" s="6"/>
      <c r="E1268" s="1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  <c r="V1268" s="16"/>
      <c r="W1268" s="16"/>
      <c r="X1268" s="16"/>
      <c r="Y1268" s="16"/>
      <c r="Z1268" s="16"/>
      <c r="AA1268" s="16"/>
      <c r="AB1268" s="16"/>
      <c r="AC1268" s="16"/>
      <c r="AD1268" s="16"/>
      <c r="AE1268" s="16"/>
      <c r="AF1268" s="16"/>
      <c r="AG1268" s="16"/>
      <c r="AH1268" s="16"/>
      <c r="AI1268" s="16"/>
      <c r="AJ1268" s="16"/>
      <c r="AK1268" s="16"/>
      <c r="AL1268" s="16"/>
      <c r="AM1268" s="16"/>
      <c r="AN1268" s="16"/>
    </row>
    <row r="1269" spans="1:40" x14ac:dyDescent="0.25">
      <c r="A1269" s="16"/>
      <c r="B1269" s="27"/>
      <c r="C1269" s="9"/>
      <c r="D1269" s="6"/>
      <c r="E1269" s="1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  <c r="V1269" s="16"/>
      <c r="W1269" s="16"/>
      <c r="X1269" s="16"/>
      <c r="Y1269" s="16"/>
      <c r="Z1269" s="16"/>
      <c r="AA1269" s="16"/>
      <c r="AB1269" s="16"/>
      <c r="AC1269" s="16"/>
      <c r="AD1269" s="16"/>
      <c r="AE1269" s="16"/>
      <c r="AF1269" s="16"/>
      <c r="AG1269" s="16"/>
      <c r="AH1269" s="16"/>
      <c r="AI1269" s="16"/>
      <c r="AJ1269" s="16"/>
      <c r="AK1269" s="16"/>
      <c r="AL1269" s="16"/>
      <c r="AM1269" s="16"/>
      <c r="AN1269" s="16"/>
    </row>
    <row r="1270" spans="1:40" x14ac:dyDescent="0.25">
      <c r="A1270" s="16"/>
      <c r="B1270" s="27"/>
      <c r="C1270" s="9"/>
      <c r="D1270" s="6"/>
      <c r="E1270" s="1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  <c r="V1270" s="16"/>
      <c r="W1270" s="16"/>
      <c r="X1270" s="16"/>
      <c r="Y1270" s="16"/>
      <c r="Z1270" s="16"/>
      <c r="AA1270" s="16"/>
      <c r="AB1270" s="16"/>
      <c r="AC1270" s="16"/>
      <c r="AD1270" s="16"/>
      <c r="AE1270" s="16"/>
      <c r="AF1270" s="16"/>
      <c r="AG1270" s="16"/>
      <c r="AH1270" s="16"/>
      <c r="AI1270" s="16"/>
      <c r="AJ1270" s="16"/>
      <c r="AK1270" s="16"/>
      <c r="AL1270" s="16"/>
      <c r="AM1270" s="16"/>
      <c r="AN1270" s="16"/>
    </row>
    <row r="1271" spans="1:40" x14ac:dyDescent="0.25">
      <c r="A1271" s="16"/>
      <c r="B1271" s="27"/>
      <c r="C1271" s="9"/>
      <c r="D1271" s="6"/>
      <c r="E1271" s="1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  <c r="V1271" s="16"/>
      <c r="W1271" s="16"/>
      <c r="X1271" s="16"/>
      <c r="Y1271" s="16"/>
      <c r="Z1271" s="16"/>
      <c r="AA1271" s="16"/>
      <c r="AB1271" s="16"/>
      <c r="AC1271" s="16"/>
      <c r="AD1271" s="16"/>
      <c r="AE1271" s="16"/>
      <c r="AF1271" s="16"/>
      <c r="AG1271" s="16"/>
      <c r="AH1271" s="16"/>
      <c r="AI1271" s="16"/>
      <c r="AJ1271" s="16"/>
      <c r="AK1271" s="16"/>
      <c r="AL1271" s="16"/>
      <c r="AM1271" s="16"/>
      <c r="AN1271" s="16"/>
    </row>
    <row r="1272" spans="1:40" x14ac:dyDescent="0.25">
      <c r="A1272" s="16"/>
      <c r="B1272" s="27"/>
      <c r="C1272" s="9"/>
      <c r="D1272" s="6"/>
      <c r="E1272" s="1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  <c r="V1272" s="16"/>
      <c r="W1272" s="16"/>
      <c r="X1272" s="16"/>
      <c r="Y1272" s="16"/>
      <c r="Z1272" s="16"/>
      <c r="AA1272" s="16"/>
      <c r="AB1272" s="16"/>
      <c r="AC1272" s="16"/>
      <c r="AD1272" s="16"/>
      <c r="AE1272" s="16"/>
      <c r="AF1272" s="16"/>
      <c r="AG1272" s="16"/>
      <c r="AH1272" s="16"/>
      <c r="AI1272" s="16"/>
      <c r="AJ1272" s="16"/>
      <c r="AK1272" s="16"/>
      <c r="AL1272" s="16"/>
      <c r="AM1272" s="16"/>
      <c r="AN1272" s="16"/>
    </row>
    <row r="1273" spans="1:40" x14ac:dyDescent="0.25">
      <c r="A1273" s="16"/>
      <c r="B1273" s="27"/>
      <c r="C1273" s="9"/>
      <c r="D1273" s="6"/>
      <c r="E1273" s="1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  <c r="V1273" s="16"/>
      <c r="W1273" s="16"/>
      <c r="X1273" s="16"/>
      <c r="Y1273" s="16"/>
      <c r="Z1273" s="16"/>
      <c r="AA1273" s="16"/>
      <c r="AB1273" s="16"/>
      <c r="AC1273" s="16"/>
      <c r="AD1273" s="16"/>
      <c r="AE1273" s="16"/>
      <c r="AF1273" s="16"/>
      <c r="AG1273" s="16"/>
      <c r="AH1273" s="16"/>
      <c r="AI1273" s="16"/>
      <c r="AJ1273" s="16"/>
      <c r="AK1273" s="16"/>
      <c r="AL1273" s="16"/>
      <c r="AM1273" s="16"/>
      <c r="AN1273" s="16"/>
    </row>
    <row r="1274" spans="1:40" x14ac:dyDescent="0.25">
      <c r="A1274" s="16"/>
      <c r="B1274" s="27"/>
      <c r="C1274" s="9"/>
      <c r="D1274" s="6"/>
      <c r="E1274" s="1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  <c r="V1274" s="16"/>
      <c r="W1274" s="16"/>
      <c r="X1274" s="16"/>
      <c r="Y1274" s="16"/>
      <c r="Z1274" s="16"/>
      <c r="AA1274" s="16"/>
      <c r="AB1274" s="16"/>
      <c r="AC1274" s="16"/>
      <c r="AD1274" s="16"/>
      <c r="AE1274" s="16"/>
      <c r="AF1274" s="16"/>
      <c r="AG1274" s="16"/>
      <c r="AH1274" s="16"/>
      <c r="AI1274" s="16"/>
      <c r="AJ1274" s="16"/>
      <c r="AK1274" s="16"/>
      <c r="AL1274" s="16"/>
      <c r="AM1274" s="16"/>
      <c r="AN1274" s="16"/>
    </row>
    <row r="1275" spans="1:40" x14ac:dyDescent="0.25">
      <c r="A1275" s="16"/>
      <c r="B1275" s="27"/>
      <c r="C1275" s="9"/>
      <c r="D1275" s="6"/>
      <c r="E1275" s="1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  <c r="V1275" s="16"/>
      <c r="W1275" s="16"/>
      <c r="X1275" s="16"/>
      <c r="Y1275" s="16"/>
      <c r="Z1275" s="16"/>
      <c r="AA1275" s="16"/>
      <c r="AB1275" s="16"/>
      <c r="AC1275" s="16"/>
      <c r="AD1275" s="16"/>
      <c r="AE1275" s="16"/>
      <c r="AF1275" s="16"/>
      <c r="AG1275" s="16"/>
      <c r="AH1275" s="16"/>
      <c r="AI1275" s="16"/>
      <c r="AJ1275" s="16"/>
      <c r="AK1275" s="16"/>
      <c r="AL1275" s="16"/>
      <c r="AM1275" s="16"/>
      <c r="AN1275" s="16"/>
    </row>
    <row r="1276" spans="1:40" x14ac:dyDescent="0.25">
      <c r="A1276" s="16"/>
      <c r="B1276" s="27"/>
      <c r="C1276" s="9"/>
      <c r="D1276" s="6"/>
      <c r="E1276" s="1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  <c r="V1276" s="16"/>
      <c r="W1276" s="16"/>
      <c r="X1276" s="16"/>
      <c r="Y1276" s="16"/>
      <c r="Z1276" s="16"/>
      <c r="AA1276" s="16"/>
      <c r="AB1276" s="16"/>
      <c r="AC1276" s="16"/>
      <c r="AD1276" s="16"/>
      <c r="AE1276" s="16"/>
      <c r="AF1276" s="16"/>
      <c r="AG1276" s="16"/>
      <c r="AH1276" s="16"/>
      <c r="AI1276" s="16"/>
      <c r="AJ1276" s="16"/>
      <c r="AK1276" s="16"/>
      <c r="AL1276" s="16"/>
      <c r="AM1276" s="16"/>
      <c r="AN1276" s="16"/>
    </row>
    <row r="1277" spans="1:40" x14ac:dyDescent="0.25">
      <c r="A1277" s="16"/>
      <c r="B1277" s="27"/>
      <c r="C1277" s="9"/>
      <c r="D1277" s="6"/>
      <c r="E1277" s="1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  <c r="V1277" s="16"/>
      <c r="W1277" s="16"/>
      <c r="X1277" s="16"/>
      <c r="Y1277" s="16"/>
      <c r="Z1277" s="16"/>
      <c r="AA1277" s="16"/>
      <c r="AB1277" s="16"/>
      <c r="AC1277" s="16"/>
      <c r="AD1277" s="16"/>
      <c r="AE1277" s="16"/>
      <c r="AF1277" s="16"/>
      <c r="AG1277" s="16"/>
      <c r="AH1277" s="16"/>
      <c r="AI1277" s="16"/>
      <c r="AJ1277" s="16"/>
      <c r="AK1277" s="16"/>
      <c r="AL1277" s="16"/>
      <c r="AM1277" s="16"/>
      <c r="AN1277" s="16"/>
    </row>
    <row r="1278" spans="1:40" x14ac:dyDescent="0.25">
      <c r="A1278" s="16"/>
      <c r="B1278" s="27"/>
      <c r="C1278" s="9"/>
      <c r="D1278" s="6"/>
      <c r="E1278" s="1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  <c r="V1278" s="16"/>
      <c r="W1278" s="16"/>
      <c r="X1278" s="16"/>
      <c r="Y1278" s="16"/>
      <c r="Z1278" s="16"/>
      <c r="AA1278" s="16"/>
      <c r="AB1278" s="16"/>
      <c r="AC1278" s="16"/>
      <c r="AD1278" s="16"/>
      <c r="AE1278" s="16"/>
      <c r="AF1278" s="16"/>
      <c r="AG1278" s="16"/>
      <c r="AH1278" s="16"/>
      <c r="AI1278" s="16"/>
      <c r="AJ1278" s="16"/>
      <c r="AK1278" s="16"/>
      <c r="AL1278" s="16"/>
      <c r="AM1278" s="16"/>
      <c r="AN1278" s="16"/>
    </row>
    <row r="1279" spans="1:40" x14ac:dyDescent="0.25">
      <c r="A1279" s="16"/>
      <c r="B1279" s="27"/>
      <c r="C1279" s="9"/>
      <c r="D1279" s="6"/>
      <c r="E1279" s="1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  <c r="V1279" s="16"/>
      <c r="W1279" s="16"/>
      <c r="X1279" s="16"/>
      <c r="Y1279" s="16"/>
      <c r="Z1279" s="16"/>
      <c r="AA1279" s="16"/>
      <c r="AB1279" s="16"/>
      <c r="AC1279" s="16"/>
      <c r="AD1279" s="16"/>
      <c r="AE1279" s="16"/>
      <c r="AF1279" s="16"/>
      <c r="AG1279" s="16"/>
      <c r="AH1279" s="16"/>
      <c r="AI1279" s="16"/>
      <c r="AJ1279" s="16"/>
      <c r="AK1279" s="16"/>
      <c r="AL1279" s="16"/>
      <c r="AM1279" s="16"/>
      <c r="AN1279" s="16"/>
    </row>
    <row r="1280" spans="1:40" x14ac:dyDescent="0.25">
      <c r="A1280" s="16"/>
      <c r="B1280" s="27"/>
      <c r="C1280" s="9"/>
      <c r="D1280" s="6"/>
      <c r="E1280" s="1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  <c r="V1280" s="16"/>
      <c r="W1280" s="16"/>
      <c r="X1280" s="16"/>
      <c r="Y1280" s="16"/>
      <c r="Z1280" s="16"/>
      <c r="AA1280" s="16"/>
      <c r="AB1280" s="16"/>
      <c r="AC1280" s="16"/>
      <c r="AD1280" s="16"/>
      <c r="AE1280" s="16"/>
      <c r="AF1280" s="16"/>
      <c r="AG1280" s="16"/>
      <c r="AH1280" s="16"/>
      <c r="AI1280" s="16"/>
      <c r="AJ1280" s="16"/>
      <c r="AK1280" s="16"/>
      <c r="AL1280" s="16"/>
      <c r="AM1280" s="16"/>
      <c r="AN1280" s="16"/>
    </row>
    <row r="1281" spans="1:40" x14ac:dyDescent="0.25">
      <c r="A1281" s="16"/>
      <c r="B1281" s="27"/>
      <c r="C1281" s="9"/>
      <c r="D1281" s="6"/>
      <c r="E1281" s="1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  <c r="V1281" s="16"/>
      <c r="W1281" s="16"/>
      <c r="X1281" s="16"/>
      <c r="Y1281" s="16"/>
      <c r="Z1281" s="16"/>
      <c r="AA1281" s="16"/>
      <c r="AB1281" s="16"/>
      <c r="AC1281" s="16"/>
      <c r="AD1281" s="16"/>
      <c r="AE1281" s="16"/>
      <c r="AF1281" s="16"/>
      <c r="AG1281" s="16"/>
      <c r="AH1281" s="16"/>
      <c r="AI1281" s="16"/>
      <c r="AJ1281" s="16"/>
      <c r="AK1281" s="16"/>
      <c r="AL1281" s="16"/>
      <c r="AM1281" s="16"/>
      <c r="AN1281" s="16"/>
    </row>
    <row r="1282" spans="1:40" x14ac:dyDescent="0.25">
      <c r="A1282" s="16"/>
      <c r="B1282" s="27"/>
      <c r="C1282" s="9"/>
      <c r="D1282" s="6"/>
      <c r="E1282" s="1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  <c r="V1282" s="16"/>
      <c r="W1282" s="16"/>
      <c r="X1282" s="16"/>
      <c r="Y1282" s="16"/>
      <c r="Z1282" s="16"/>
      <c r="AA1282" s="16"/>
      <c r="AB1282" s="16"/>
      <c r="AC1282" s="16"/>
      <c r="AD1282" s="16"/>
      <c r="AE1282" s="16"/>
      <c r="AF1282" s="16"/>
      <c r="AG1282" s="16"/>
      <c r="AH1282" s="16"/>
      <c r="AI1282" s="16"/>
      <c r="AJ1282" s="16"/>
      <c r="AK1282" s="16"/>
      <c r="AL1282" s="16"/>
      <c r="AM1282" s="16"/>
      <c r="AN1282" s="16"/>
    </row>
    <row r="1283" spans="1:40" x14ac:dyDescent="0.25">
      <c r="A1283" s="16"/>
      <c r="B1283" s="27"/>
      <c r="C1283" s="9"/>
      <c r="D1283" s="6"/>
      <c r="E1283" s="1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  <c r="V1283" s="16"/>
      <c r="W1283" s="16"/>
      <c r="X1283" s="16"/>
      <c r="Y1283" s="16"/>
      <c r="Z1283" s="16"/>
      <c r="AA1283" s="16"/>
      <c r="AB1283" s="16"/>
      <c r="AC1283" s="16"/>
      <c r="AD1283" s="16"/>
      <c r="AE1283" s="16"/>
      <c r="AF1283" s="16"/>
      <c r="AG1283" s="16"/>
      <c r="AH1283" s="16"/>
      <c r="AI1283" s="16"/>
      <c r="AJ1283" s="16"/>
      <c r="AK1283" s="16"/>
      <c r="AL1283" s="16"/>
      <c r="AM1283" s="16"/>
      <c r="AN1283" s="16"/>
    </row>
    <row r="1284" spans="1:40" x14ac:dyDescent="0.25">
      <c r="A1284" s="16"/>
      <c r="B1284" s="27"/>
      <c r="C1284" s="9"/>
      <c r="D1284" s="6"/>
      <c r="E1284" s="1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  <c r="V1284" s="16"/>
      <c r="W1284" s="16"/>
      <c r="X1284" s="16"/>
      <c r="Y1284" s="16"/>
      <c r="Z1284" s="16"/>
      <c r="AA1284" s="16"/>
      <c r="AB1284" s="16"/>
      <c r="AC1284" s="16"/>
      <c r="AD1284" s="16"/>
      <c r="AE1284" s="16"/>
      <c r="AF1284" s="16"/>
      <c r="AG1284" s="16"/>
      <c r="AH1284" s="16"/>
      <c r="AI1284" s="16"/>
      <c r="AJ1284" s="16"/>
      <c r="AK1284" s="16"/>
      <c r="AL1284" s="16"/>
      <c r="AM1284" s="16"/>
      <c r="AN1284" s="16"/>
    </row>
    <row r="1285" spans="1:40" x14ac:dyDescent="0.25">
      <c r="A1285" s="16"/>
      <c r="B1285" s="27"/>
      <c r="C1285" s="9"/>
      <c r="D1285" s="6"/>
      <c r="E1285" s="1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  <c r="V1285" s="16"/>
      <c r="W1285" s="16"/>
      <c r="X1285" s="16"/>
      <c r="Y1285" s="16"/>
      <c r="Z1285" s="16"/>
      <c r="AA1285" s="16"/>
      <c r="AB1285" s="16"/>
      <c r="AC1285" s="16"/>
      <c r="AD1285" s="16"/>
      <c r="AE1285" s="16"/>
      <c r="AF1285" s="16"/>
      <c r="AG1285" s="16"/>
      <c r="AH1285" s="16"/>
      <c r="AI1285" s="16"/>
      <c r="AJ1285" s="16"/>
      <c r="AK1285" s="16"/>
      <c r="AL1285" s="16"/>
      <c r="AM1285" s="16"/>
      <c r="AN1285" s="16"/>
    </row>
    <row r="1286" spans="1:40" x14ac:dyDescent="0.25">
      <c r="A1286" s="16"/>
      <c r="B1286" s="27"/>
      <c r="C1286" s="9"/>
      <c r="D1286" s="6"/>
      <c r="E1286" s="1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  <c r="V1286" s="16"/>
      <c r="W1286" s="16"/>
      <c r="X1286" s="16"/>
      <c r="Y1286" s="16"/>
      <c r="Z1286" s="16"/>
      <c r="AA1286" s="16"/>
      <c r="AB1286" s="16"/>
      <c r="AC1286" s="16"/>
      <c r="AD1286" s="16"/>
      <c r="AE1286" s="16"/>
      <c r="AF1286" s="16"/>
      <c r="AG1286" s="16"/>
      <c r="AH1286" s="16"/>
      <c r="AI1286" s="16"/>
      <c r="AJ1286" s="16"/>
      <c r="AK1286" s="16"/>
      <c r="AL1286" s="16"/>
      <c r="AM1286" s="16"/>
      <c r="AN1286" s="16"/>
    </row>
    <row r="1287" spans="1:40" x14ac:dyDescent="0.25">
      <c r="A1287" s="16"/>
      <c r="B1287" s="27"/>
      <c r="C1287" s="9"/>
      <c r="D1287" s="6"/>
      <c r="E1287" s="1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  <c r="V1287" s="16"/>
      <c r="W1287" s="16"/>
      <c r="X1287" s="16"/>
      <c r="Y1287" s="16"/>
      <c r="Z1287" s="16"/>
      <c r="AA1287" s="16"/>
      <c r="AB1287" s="16"/>
      <c r="AC1287" s="16"/>
      <c r="AD1287" s="16"/>
      <c r="AE1287" s="16"/>
      <c r="AF1287" s="16"/>
      <c r="AG1287" s="16"/>
      <c r="AH1287" s="16"/>
      <c r="AI1287" s="16"/>
      <c r="AJ1287" s="16"/>
      <c r="AK1287" s="16"/>
      <c r="AL1287" s="16"/>
      <c r="AM1287" s="16"/>
      <c r="AN1287" s="16"/>
    </row>
    <row r="1288" spans="1:40" x14ac:dyDescent="0.25">
      <c r="A1288" s="16"/>
      <c r="B1288" s="27"/>
      <c r="C1288" s="9"/>
      <c r="D1288" s="6"/>
      <c r="E1288" s="1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  <c r="V1288" s="16"/>
      <c r="W1288" s="16"/>
      <c r="X1288" s="16"/>
      <c r="Y1288" s="16"/>
      <c r="Z1288" s="16"/>
      <c r="AA1288" s="16"/>
      <c r="AB1288" s="16"/>
      <c r="AC1288" s="16"/>
      <c r="AD1288" s="16"/>
      <c r="AE1288" s="16"/>
      <c r="AF1288" s="16"/>
      <c r="AG1288" s="16"/>
      <c r="AH1288" s="16"/>
      <c r="AI1288" s="16"/>
      <c r="AJ1288" s="16"/>
      <c r="AK1288" s="16"/>
      <c r="AL1288" s="16"/>
      <c r="AM1288" s="16"/>
      <c r="AN1288" s="16"/>
    </row>
    <row r="1289" spans="1:40" x14ac:dyDescent="0.25">
      <c r="A1289" s="16"/>
      <c r="B1289" s="27"/>
      <c r="C1289" s="9"/>
      <c r="D1289" s="6"/>
      <c r="E1289" s="1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  <c r="V1289" s="16"/>
      <c r="W1289" s="16"/>
      <c r="X1289" s="16"/>
      <c r="Y1289" s="16"/>
      <c r="Z1289" s="16"/>
      <c r="AA1289" s="16"/>
      <c r="AB1289" s="16"/>
      <c r="AC1289" s="16"/>
      <c r="AD1289" s="16"/>
      <c r="AE1289" s="16"/>
      <c r="AF1289" s="16"/>
      <c r="AG1289" s="16"/>
      <c r="AH1289" s="16"/>
      <c r="AI1289" s="16"/>
      <c r="AJ1289" s="16"/>
      <c r="AK1289" s="16"/>
      <c r="AL1289" s="16"/>
      <c r="AM1289" s="16"/>
      <c r="AN1289" s="16"/>
    </row>
    <row r="1290" spans="1:40" x14ac:dyDescent="0.25">
      <c r="A1290" s="16"/>
      <c r="B1290" s="27"/>
      <c r="C1290" s="9"/>
      <c r="D1290" s="6"/>
      <c r="E1290" s="1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  <c r="V1290" s="16"/>
      <c r="W1290" s="16"/>
      <c r="X1290" s="16"/>
      <c r="Y1290" s="16"/>
      <c r="Z1290" s="16"/>
      <c r="AA1290" s="16"/>
      <c r="AB1290" s="16"/>
      <c r="AC1290" s="16"/>
      <c r="AD1290" s="16"/>
      <c r="AE1290" s="16"/>
      <c r="AF1290" s="16"/>
      <c r="AG1290" s="16"/>
      <c r="AH1290" s="16"/>
      <c r="AI1290" s="16"/>
      <c r="AJ1290" s="16"/>
      <c r="AK1290" s="16"/>
      <c r="AL1290" s="16"/>
      <c r="AM1290" s="16"/>
      <c r="AN1290" s="16"/>
    </row>
    <row r="1291" spans="1:40" x14ac:dyDescent="0.25">
      <c r="A1291" s="16"/>
      <c r="B1291" s="27"/>
      <c r="C1291" s="9"/>
      <c r="D1291" s="6"/>
      <c r="E1291" s="1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  <c r="V1291" s="16"/>
      <c r="W1291" s="16"/>
      <c r="X1291" s="16"/>
      <c r="Y1291" s="16"/>
      <c r="Z1291" s="16"/>
      <c r="AA1291" s="16"/>
      <c r="AB1291" s="16"/>
      <c r="AC1291" s="16"/>
      <c r="AD1291" s="16"/>
      <c r="AE1291" s="16"/>
      <c r="AF1291" s="16"/>
      <c r="AG1291" s="16"/>
      <c r="AH1291" s="16"/>
      <c r="AI1291" s="16"/>
      <c r="AJ1291" s="16"/>
      <c r="AK1291" s="16"/>
      <c r="AL1291" s="16"/>
      <c r="AM1291" s="16"/>
      <c r="AN1291" s="16"/>
    </row>
    <row r="1292" spans="1:40" x14ac:dyDescent="0.25">
      <c r="A1292" s="16"/>
      <c r="B1292" s="27"/>
      <c r="C1292" s="9"/>
      <c r="D1292" s="6"/>
      <c r="E1292" s="1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  <c r="V1292" s="16"/>
      <c r="W1292" s="16"/>
      <c r="X1292" s="16"/>
      <c r="Y1292" s="16"/>
      <c r="Z1292" s="16"/>
      <c r="AA1292" s="16"/>
      <c r="AB1292" s="16"/>
      <c r="AC1292" s="16"/>
      <c r="AD1292" s="16"/>
      <c r="AE1292" s="16"/>
      <c r="AF1292" s="16"/>
      <c r="AG1292" s="16"/>
      <c r="AH1292" s="16"/>
      <c r="AI1292" s="16"/>
      <c r="AJ1292" s="16"/>
      <c r="AK1292" s="16"/>
      <c r="AL1292" s="16"/>
      <c r="AM1292" s="16"/>
      <c r="AN1292" s="16"/>
    </row>
    <row r="1293" spans="1:40" x14ac:dyDescent="0.25">
      <c r="A1293" s="16"/>
      <c r="B1293" s="27"/>
      <c r="C1293" s="9"/>
      <c r="D1293" s="6"/>
      <c r="E1293" s="1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  <c r="V1293" s="16"/>
      <c r="W1293" s="16"/>
      <c r="X1293" s="16"/>
      <c r="Y1293" s="16"/>
      <c r="Z1293" s="16"/>
      <c r="AA1293" s="16"/>
      <c r="AB1293" s="16"/>
      <c r="AC1293" s="16"/>
      <c r="AD1293" s="16"/>
      <c r="AE1293" s="16"/>
      <c r="AF1293" s="16"/>
      <c r="AG1293" s="16"/>
      <c r="AH1293" s="16"/>
      <c r="AI1293" s="16"/>
      <c r="AJ1293" s="16"/>
      <c r="AK1293" s="16"/>
      <c r="AL1293" s="16"/>
      <c r="AM1293" s="16"/>
      <c r="AN1293" s="16"/>
    </row>
    <row r="1294" spans="1:40" x14ac:dyDescent="0.25">
      <c r="A1294" s="16"/>
      <c r="B1294" s="27"/>
      <c r="C1294" s="9"/>
      <c r="D1294" s="6"/>
      <c r="E1294" s="1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  <c r="V1294" s="16"/>
      <c r="W1294" s="16"/>
      <c r="X1294" s="16"/>
      <c r="Y1294" s="16"/>
      <c r="Z1294" s="16"/>
      <c r="AA1294" s="16"/>
      <c r="AB1294" s="16"/>
      <c r="AC1294" s="16"/>
      <c r="AD1294" s="16"/>
      <c r="AE1294" s="16"/>
      <c r="AF1294" s="16"/>
      <c r="AG1294" s="16"/>
      <c r="AH1294" s="16"/>
      <c r="AI1294" s="16"/>
      <c r="AJ1294" s="16"/>
      <c r="AK1294" s="16"/>
      <c r="AL1294" s="16"/>
      <c r="AM1294" s="16"/>
      <c r="AN1294" s="16"/>
    </row>
    <row r="1295" spans="1:40" x14ac:dyDescent="0.25">
      <c r="A1295" s="16"/>
      <c r="B1295" s="27"/>
      <c r="C1295" s="9"/>
      <c r="D1295" s="6"/>
      <c r="E1295" s="1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  <c r="V1295" s="16"/>
      <c r="W1295" s="16"/>
      <c r="X1295" s="16"/>
      <c r="Y1295" s="16"/>
      <c r="Z1295" s="16"/>
      <c r="AA1295" s="16"/>
      <c r="AB1295" s="16"/>
      <c r="AC1295" s="16"/>
      <c r="AD1295" s="16"/>
      <c r="AE1295" s="16"/>
      <c r="AF1295" s="16"/>
      <c r="AG1295" s="16"/>
      <c r="AH1295" s="16"/>
      <c r="AI1295" s="16"/>
      <c r="AJ1295" s="16"/>
      <c r="AK1295" s="16"/>
      <c r="AL1295" s="16"/>
      <c r="AM1295" s="16"/>
      <c r="AN1295" s="16"/>
    </row>
    <row r="1296" spans="1:40" x14ac:dyDescent="0.25">
      <c r="A1296" s="16"/>
      <c r="B1296" s="27"/>
      <c r="C1296" s="9"/>
      <c r="D1296" s="6"/>
      <c r="E1296" s="1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  <c r="V1296" s="16"/>
      <c r="W1296" s="16"/>
      <c r="X1296" s="16"/>
      <c r="Y1296" s="16"/>
      <c r="Z1296" s="16"/>
      <c r="AA1296" s="16"/>
      <c r="AB1296" s="16"/>
      <c r="AC1296" s="16"/>
      <c r="AD1296" s="16"/>
      <c r="AE1296" s="16"/>
      <c r="AF1296" s="16"/>
      <c r="AG1296" s="16"/>
      <c r="AH1296" s="16"/>
      <c r="AI1296" s="16"/>
      <c r="AJ1296" s="16"/>
      <c r="AK1296" s="16"/>
      <c r="AL1296" s="16"/>
      <c r="AM1296" s="16"/>
      <c r="AN1296" s="16"/>
    </row>
    <row r="1297" spans="1:40" x14ac:dyDescent="0.25">
      <c r="A1297" s="16"/>
      <c r="B1297" s="27"/>
      <c r="C1297" s="9"/>
      <c r="D1297" s="6"/>
      <c r="E1297" s="1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  <c r="V1297" s="16"/>
      <c r="W1297" s="16"/>
      <c r="X1297" s="16"/>
      <c r="Y1297" s="16"/>
      <c r="Z1297" s="16"/>
      <c r="AA1297" s="16"/>
      <c r="AB1297" s="16"/>
      <c r="AC1297" s="16"/>
      <c r="AD1297" s="16"/>
      <c r="AE1297" s="16"/>
      <c r="AF1297" s="16"/>
      <c r="AG1297" s="16"/>
      <c r="AH1297" s="16"/>
      <c r="AI1297" s="16"/>
      <c r="AJ1297" s="16"/>
      <c r="AK1297" s="16"/>
      <c r="AL1297" s="16"/>
      <c r="AM1297" s="16"/>
      <c r="AN1297" s="16"/>
    </row>
    <row r="1298" spans="1:40" x14ac:dyDescent="0.25">
      <c r="A1298" s="16"/>
      <c r="B1298" s="27"/>
      <c r="C1298" s="9"/>
      <c r="D1298" s="6"/>
      <c r="E1298" s="1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  <c r="V1298" s="16"/>
      <c r="W1298" s="16"/>
      <c r="X1298" s="16"/>
      <c r="Y1298" s="16"/>
      <c r="Z1298" s="16"/>
      <c r="AA1298" s="16"/>
      <c r="AB1298" s="16"/>
      <c r="AC1298" s="16"/>
      <c r="AD1298" s="16"/>
      <c r="AE1298" s="16"/>
      <c r="AF1298" s="16"/>
      <c r="AG1298" s="16"/>
      <c r="AH1298" s="16"/>
      <c r="AI1298" s="16"/>
      <c r="AJ1298" s="16"/>
      <c r="AK1298" s="16"/>
      <c r="AL1298" s="16"/>
      <c r="AM1298" s="16"/>
      <c r="AN1298" s="16"/>
    </row>
    <row r="1299" spans="1:40" x14ac:dyDescent="0.25">
      <c r="A1299" s="16"/>
      <c r="B1299" s="27"/>
      <c r="C1299" s="9"/>
      <c r="D1299" s="6"/>
      <c r="E1299" s="1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  <c r="V1299" s="16"/>
      <c r="W1299" s="16"/>
      <c r="X1299" s="16"/>
      <c r="Y1299" s="16"/>
      <c r="Z1299" s="16"/>
      <c r="AA1299" s="16"/>
      <c r="AB1299" s="16"/>
      <c r="AC1299" s="16"/>
      <c r="AD1299" s="16"/>
      <c r="AE1299" s="16"/>
      <c r="AF1299" s="16"/>
      <c r="AG1299" s="16"/>
      <c r="AH1299" s="16"/>
      <c r="AI1299" s="16"/>
      <c r="AJ1299" s="16"/>
      <c r="AK1299" s="16"/>
      <c r="AL1299" s="16"/>
      <c r="AM1299" s="16"/>
      <c r="AN1299" s="16"/>
    </row>
    <row r="1300" spans="1:40" x14ac:dyDescent="0.25">
      <c r="A1300" s="16"/>
      <c r="B1300" s="27"/>
      <c r="C1300" s="9"/>
      <c r="D1300" s="6"/>
      <c r="E1300" s="1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  <c r="V1300" s="16"/>
      <c r="W1300" s="16"/>
      <c r="X1300" s="16"/>
      <c r="Y1300" s="16"/>
      <c r="Z1300" s="16"/>
      <c r="AA1300" s="16"/>
      <c r="AB1300" s="16"/>
      <c r="AC1300" s="16"/>
      <c r="AD1300" s="16"/>
      <c r="AE1300" s="16"/>
      <c r="AF1300" s="16"/>
      <c r="AG1300" s="16"/>
      <c r="AH1300" s="16"/>
      <c r="AI1300" s="16"/>
      <c r="AJ1300" s="16"/>
      <c r="AK1300" s="16"/>
      <c r="AL1300" s="16"/>
      <c r="AM1300" s="16"/>
      <c r="AN1300" s="16"/>
    </row>
    <row r="1301" spans="1:40" x14ac:dyDescent="0.25">
      <c r="A1301" s="16"/>
      <c r="B1301" s="27"/>
      <c r="C1301" s="9"/>
      <c r="D1301" s="6"/>
      <c r="E1301" s="1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  <c r="V1301" s="16"/>
      <c r="W1301" s="16"/>
      <c r="X1301" s="16"/>
      <c r="Y1301" s="16"/>
      <c r="Z1301" s="16"/>
      <c r="AA1301" s="16"/>
      <c r="AB1301" s="16"/>
      <c r="AC1301" s="16"/>
      <c r="AD1301" s="16"/>
      <c r="AE1301" s="16"/>
      <c r="AF1301" s="16"/>
      <c r="AG1301" s="16"/>
      <c r="AH1301" s="16"/>
      <c r="AI1301" s="16"/>
      <c r="AJ1301" s="16"/>
      <c r="AK1301" s="16"/>
      <c r="AL1301" s="16"/>
      <c r="AM1301" s="16"/>
      <c r="AN1301" s="16"/>
    </row>
    <row r="1302" spans="1:40" x14ac:dyDescent="0.25">
      <c r="A1302" s="16"/>
      <c r="B1302" s="27"/>
      <c r="C1302" s="9"/>
      <c r="D1302" s="6"/>
      <c r="E1302" s="1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  <c r="V1302" s="16"/>
      <c r="W1302" s="16"/>
      <c r="X1302" s="16"/>
      <c r="Y1302" s="16"/>
      <c r="Z1302" s="16"/>
      <c r="AA1302" s="16"/>
      <c r="AB1302" s="16"/>
      <c r="AC1302" s="16"/>
      <c r="AD1302" s="16"/>
      <c r="AE1302" s="16"/>
      <c r="AF1302" s="16"/>
      <c r="AG1302" s="16"/>
      <c r="AH1302" s="16"/>
      <c r="AI1302" s="16"/>
      <c r="AJ1302" s="16"/>
      <c r="AK1302" s="16"/>
      <c r="AL1302" s="16"/>
      <c r="AM1302" s="16"/>
      <c r="AN1302" s="16"/>
    </row>
    <row r="1303" spans="1:40" x14ac:dyDescent="0.25">
      <c r="A1303" s="16"/>
      <c r="B1303" s="27"/>
      <c r="C1303" s="9"/>
      <c r="D1303" s="6"/>
      <c r="E1303" s="1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  <c r="V1303" s="16"/>
      <c r="W1303" s="16"/>
      <c r="X1303" s="16"/>
      <c r="Y1303" s="16"/>
      <c r="Z1303" s="16"/>
      <c r="AA1303" s="16"/>
      <c r="AB1303" s="16"/>
      <c r="AC1303" s="16"/>
      <c r="AD1303" s="16"/>
      <c r="AE1303" s="16"/>
      <c r="AF1303" s="16"/>
      <c r="AG1303" s="16"/>
      <c r="AH1303" s="16"/>
      <c r="AI1303" s="16"/>
      <c r="AJ1303" s="16"/>
      <c r="AK1303" s="16"/>
      <c r="AL1303" s="16"/>
      <c r="AM1303" s="16"/>
      <c r="AN1303" s="16"/>
    </row>
    <row r="1304" spans="1:40" x14ac:dyDescent="0.25">
      <c r="A1304" s="16"/>
      <c r="B1304" s="27"/>
      <c r="C1304" s="9"/>
      <c r="D1304" s="6"/>
      <c r="E1304" s="1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  <c r="V1304" s="16"/>
      <c r="W1304" s="16"/>
      <c r="X1304" s="16"/>
      <c r="Y1304" s="16"/>
      <c r="Z1304" s="16"/>
      <c r="AA1304" s="16"/>
      <c r="AB1304" s="16"/>
      <c r="AC1304" s="16"/>
      <c r="AD1304" s="16"/>
      <c r="AE1304" s="16"/>
      <c r="AF1304" s="16"/>
      <c r="AG1304" s="16"/>
      <c r="AH1304" s="16"/>
      <c r="AI1304" s="16"/>
      <c r="AJ1304" s="16"/>
      <c r="AK1304" s="16"/>
      <c r="AL1304" s="16"/>
      <c r="AM1304" s="16"/>
      <c r="AN1304" s="16"/>
    </row>
    <row r="1305" spans="1:40" x14ac:dyDescent="0.25">
      <c r="A1305" s="16"/>
      <c r="B1305" s="27"/>
      <c r="C1305" s="9"/>
      <c r="D1305" s="6"/>
      <c r="E1305" s="1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  <c r="V1305" s="16"/>
      <c r="W1305" s="16"/>
      <c r="X1305" s="16"/>
      <c r="Y1305" s="16"/>
      <c r="Z1305" s="16"/>
      <c r="AA1305" s="16"/>
      <c r="AB1305" s="16"/>
      <c r="AC1305" s="16"/>
      <c r="AD1305" s="16"/>
      <c r="AE1305" s="16"/>
      <c r="AF1305" s="16"/>
      <c r="AG1305" s="16"/>
      <c r="AH1305" s="16"/>
      <c r="AI1305" s="16"/>
      <c r="AJ1305" s="16"/>
      <c r="AK1305" s="16"/>
      <c r="AL1305" s="16"/>
      <c r="AM1305" s="16"/>
      <c r="AN1305" s="16"/>
    </row>
    <row r="1306" spans="1:40" x14ac:dyDescent="0.25">
      <c r="A1306" s="16"/>
      <c r="B1306" s="27"/>
      <c r="C1306" s="9"/>
      <c r="D1306" s="6"/>
      <c r="E1306" s="1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  <c r="V1306" s="16"/>
      <c r="W1306" s="16"/>
      <c r="X1306" s="16"/>
      <c r="Y1306" s="16"/>
      <c r="Z1306" s="16"/>
      <c r="AA1306" s="16"/>
      <c r="AB1306" s="16"/>
      <c r="AC1306" s="16"/>
      <c r="AD1306" s="16"/>
      <c r="AE1306" s="16"/>
      <c r="AF1306" s="16"/>
      <c r="AG1306" s="16"/>
      <c r="AH1306" s="16"/>
      <c r="AI1306" s="16"/>
      <c r="AJ1306" s="16"/>
      <c r="AK1306" s="16"/>
      <c r="AL1306" s="16"/>
      <c r="AM1306" s="16"/>
      <c r="AN1306" s="16"/>
    </row>
    <row r="1307" spans="1:40" x14ac:dyDescent="0.25">
      <c r="A1307" s="16"/>
      <c r="B1307" s="27"/>
      <c r="C1307" s="9"/>
      <c r="D1307" s="6"/>
      <c r="E1307" s="1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  <c r="V1307" s="16"/>
      <c r="W1307" s="16"/>
      <c r="X1307" s="16"/>
      <c r="Y1307" s="16"/>
      <c r="Z1307" s="16"/>
      <c r="AA1307" s="16"/>
      <c r="AB1307" s="16"/>
      <c r="AC1307" s="16"/>
      <c r="AD1307" s="16"/>
      <c r="AE1307" s="16"/>
      <c r="AF1307" s="16"/>
      <c r="AG1307" s="16"/>
      <c r="AH1307" s="16"/>
      <c r="AI1307" s="16"/>
      <c r="AJ1307" s="16"/>
      <c r="AK1307" s="16"/>
      <c r="AL1307" s="16"/>
      <c r="AM1307" s="16"/>
      <c r="AN1307" s="16"/>
    </row>
    <row r="1308" spans="1:40" x14ac:dyDescent="0.25">
      <c r="A1308" s="16"/>
      <c r="B1308" s="27"/>
      <c r="C1308" s="9"/>
      <c r="D1308" s="6"/>
      <c r="E1308" s="1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  <c r="V1308" s="16"/>
      <c r="W1308" s="16"/>
      <c r="X1308" s="16"/>
      <c r="Y1308" s="16"/>
      <c r="Z1308" s="16"/>
      <c r="AA1308" s="16"/>
      <c r="AB1308" s="16"/>
      <c r="AC1308" s="16"/>
      <c r="AD1308" s="16"/>
      <c r="AE1308" s="16"/>
      <c r="AF1308" s="16"/>
      <c r="AG1308" s="16"/>
      <c r="AH1308" s="16"/>
      <c r="AI1308" s="16"/>
      <c r="AJ1308" s="16"/>
      <c r="AK1308" s="16"/>
      <c r="AL1308" s="16"/>
      <c r="AM1308" s="16"/>
      <c r="AN1308" s="16"/>
    </row>
    <row r="1309" spans="1:40" x14ac:dyDescent="0.25">
      <c r="A1309" s="16"/>
      <c r="B1309" s="27"/>
      <c r="C1309" s="9"/>
      <c r="D1309" s="6"/>
      <c r="E1309" s="1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  <c r="V1309" s="16"/>
      <c r="W1309" s="16"/>
      <c r="X1309" s="16"/>
      <c r="Y1309" s="16"/>
      <c r="Z1309" s="16"/>
      <c r="AA1309" s="16"/>
      <c r="AB1309" s="16"/>
      <c r="AC1309" s="16"/>
      <c r="AD1309" s="16"/>
      <c r="AE1309" s="16"/>
      <c r="AF1309" s="16"/>
      <c r="AG1309" s="16"/>
      <c r="AH1309" s="16"/>
      <c r="AI1309" s="16"/>
      <c r="AJ1309" s="16"/>
      <c r="AK1309" s="16"/>
      <c r="AL1309" s="16"/>
      <c r="AM1309" s="16"/>
      <c r="AN1309" s="16"/>
    </row>
    <row r="1310" spans="1:40" x14ac:dyDescent="0.25">
      <c r="A1310" s="16"/>
      <c r="B1310" s="27"/>
      <c r="C1310" s="9"/>
      <c r="D1310" s="6"/>
      <c r="E1310" s="1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  <c r="V1310" s="16"/>
      <c r="W1310" s="16"/>
      <c r="X1310" s="16"/>
      <c r="Y1310" s="16"/>
      <c r="Z1310" s="16"/>
      <c r="AA1310" s="16"/>
      <c r="AB1310" s="16"/>
      <c r="AC1310" s="16"/>
      <c r="AD1310" s="16"/>
      <c r="AE1310" s="16"/>
      <c r="AF1310" s="16"/>
      <c r="AG1310" s="16"/>
      <c r="AH1310" s="16"/>
      <c r="AI1310" s="16"/>
      <c r="AJ1310" s="16"/>
      <c r="AK1310" s="16"/>
      <c r="AL1310" s="16"/>
      <c r="AM1310" s="16"/>
      <c r="AN1310" s="16"/>
    </row>
    <row r="1311" spans="1:40" x14ac:dyDescent="0.25">
      <c r="A1311" s="16"/>
      <c r="B1311" s="27"/>
      <c r="C1311" s="9"/>
      <c r="D1311" s="6"/>
      <c r="E1311" s="1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  <c r="V1311" s="16"/>
      <c r="W1311" s="16"/>
      <c r="X1311" s="16"/>
      <c r="Y1311" s="16"/>
      <c r="Z1311" s="16"/>
      <c r="AA1311" s="16"/>
      <c r="AB1311" s="16"/>
      <c r="AC1311" s="16"/>
      <c r="AD1311" s="16"/>
      <c r="AE1311" s="16"/>
      <c r="AF1311" s="16"/>
      <c r="AG1311" s="16"/>
      <c r="AH1311" s="16"/>
      <c r="AI1311" s="16"/>
      <c r="AJ1311" s="16"/>
      <c r="AK1311" s="16"/>
      <c r="AL1311" s="16"/>
      <c r="AM1311" s="16"/>
      <c r="AN1311" s="16"/>
    </row>
    <row r="1312" spans="1:40" x14ac:dyDescent="0.25">
      <c r="A1312" s="16"/>
      <c r="B1312" s="27"/>
      <c r="C1312" s="9"/>
      <c r="D1312" s="6"/>
      <c r="E1312" s="1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  <c r="V1312" s="16"/>
      <c r="W1312" s="16"/>
      <c r="X1312" s="16"/>
      <c r="Y1312" s="16"/>
      <c r="Z1312" s="16"/>
      <c r="AA1312" s="16"/>
      <c r="AB1312" s="16"/>
      <c r="AC1312" s="16"/>
      <c r="AD1312" s="16"/>
      <c r="AE1312" s="16"/>
      <c r="AF1312" s="16"/>
      <c r="AG1312" s="16"/>
      <c r="AH1312" s="16"/>
      <c r="AI1312" s="16"/>
      <c r="AJ1312" s="16"/>
      <c r="AK1312" s="16"/>
      <c r="AL1312" s="16"/>
      <c r="AM1312" s="16"/>
      <c r="AN1312" s="16"/>
    </row>
    <row r="1313" spans="1:40" x14ac:dyDescent="0.25">
      <c r="A1313" s="16"/>
      <c r="B1313" s="27"/>
      <c r="C1313" s="9"/>
      <c r="D1313" s="6"/>
      <c r="E1313" s="1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  <c r="V1313" s="16"/>
      <c r="W1313" s="16"/>
      <c r="X1313" s="16"/>
      <c r="Y1313" s="16"/>
      <c r="Z1313" s="16"/>
      <c r="AA1313" s="16"/>
      <c r="AB1313" s="16"/>
      <c r="AC1313" s="16"/>
      <c r="AD1313" s="16"/>
      <c r="AE1313" s="16"/>
      <c r="AF1313" s="16"/>
      <c r="AG1313" s="16"/>
      <c r="AH1313" s="16"/>
      <c r="AI1313" s="16"/>
      <c r="AJ1313" s="16"/>
      <c r="AK1313" s="16"/>
      <c r="AL1313" s="16"/>
      <c r="AM1313" s="16"/>
      <c r="AN1313" s="16"/>
    </row>
    <row r="1314" spans="1:40" x14ac:dyDescent="0.25">
      <c r="A1314" s="16"/>
      <c r="B1314" s="27"/>
      <c r="C1314" s="9"/>
      <c r="D1314" s="6"/>
      <c r="E1314" s="1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  <c r="V1314" s="16"/>
      <c r="W1314" s="16"/>
      <c r="X1314" s="16"/>
      <c r="Y1314" s="16"/>
      <c r="Z1314" s="16"/>
      <c r="AA1314" s="16"/>
      <c r="AB1314" s="16"/>
      <c r="AC1314" s="16"/>
      <c r="AD1314" s="16"/>
      <c r="AE1314" s="16"/>
      <c r="AF1314" s="16"/>
      <c r="AG1314" s="16"/>
      <c r="AH1314" s="16"/>
      <c r="AI1314" s="16"/>
      <c r="AJ1314" s="16"/>
      <c r="AK1314" s="16"/>
      <c r="AL1314" s="16"/>
      <c r="AM1314" s="16"/>
      <c r="AN1314" s="16"/>
    </row>
    <row r="1315" spans="1:40" x14ac:dyDescent="0.25">
      <c r="A1315" s="16"/>
      <c r="B1315" s="27"/>
      <c r="C1315" s="9"/>
      <c r="D1315" s="6"/>
      <c r="E1315" s="1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  <c r="V1315" s="16"/>
      <c r="W1315" s="16"/>
      <c r="X1315" s="16"/>
      <c r="Y1315" s="16"/>
      <c r="Z1315" s="16"/>
      <c r="AA1315" s="16"/>
      <c r="AB1315" s="16"/>
      <c r="AC1315" s="16"/>
      <c r="AD1315" s="16"/>
      <c r="AE1315" s="16"/>
      <c r="AF1315" s="16"/>
      <c r="AG1315" s="16"/>
      <c r="AH1315" s="16"/>
      <c r="AI1315" s="16"/>
      <c r="AJ1315" s="16"/>
      <c r="AK1315" s="16"/>
      <c r="AL1315" s="16"/>
      <c r="AM1315" s="16"/>
      <c r="AN1315" s="16"/>
    </row>
    <row r="1316" spans="1:40" x14ac:dyDescent="0.25">
      <c r="A1316" s="16"/>
      <c r="B1316" s="27"/>
      <c r="C1316" s="9"/>
      <c r="D1316" s="6"/>
      <c r="E1316" s="1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  <c r="V1316" s="16"/>
      <c r="W1316" s="16"/>
      <c r="X1316" s="16"/>
      <c r="Y1316" s="16"/>
      <c r="Z1316" s="16"/>
      <c r="AA1316" s="16"/>
      <c r="AB1316" s="16"/>
      <c r="AC1316" s="16"/>
      <c r="AD1316" s="16"/>
      <c r="AE1316" s="16"/>
      <c r="AF1316" s="16"/>
      <c r="AG1316" s="16"/>
      <c r="AH1316" s="16"/>
      <c r="AI1316" s="16"/>
      <c r="AJ1316" s="16"/>
      <c r="AK1316" s="16"/>
      <c r="AL1316" s="16"/>
      <c r="AM1316" s="16"/>
      <c r="AN1316" s="16"/>
    </row>
    <row r="1317" spans="1:40" x14ac:dyDescent="0.25">
      <c r="A1317" s="16"/>
      <c r="B1317" s="27"/>
      <c r="C1317" s="9"/>
      <c r="D1317" s="6"/>
      <c r="E1317" s="1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  <c r="V1317" s="16"/>
      <c r="W1317" s="16"/>
      <c r="X1317" s="16"/>
      <c r="Y1317" s="16"/>
      <c r="Z1317" s="16"/>
      <c r="AA1317" s="16"/>
      <c r="AB1317" s="16"/>
      <c r="AC1317" s="16"/>
      <c r="AD1317" s="16"/>
      <c r="AE1317" s="16"/>
      <c r="AF1317" s="16"/>
      <c r="AG1317" s="16"/>
      <c r="AH1317" s="16"/>
      <c r="AI1317" s="16"/>
      <c r="AJ1317" s="16"/>
      <c r="AK1317" s="16"/>
      <c r="AL1317" s="16"/>
      <c r="AM1317" s="16"/>
      <c r="AN1317" s="16"/>
    </row>
    <row r="1318" spans="1:40" x14ac:dyDescent="0.25">
      <c r="A1318" s="16"/>
      <c r="B1318" s="27"/>
      <c r="C1318" s="9"/>
      <c r="D1318" s="6"/>
      <c r="E1318" s="1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  <c r="V1318" s="16"/>
      <c r="W1318" s="16"/>
      <c r="X1318" s="16"/>
      <c r="Y1318" s="16"/>
      <c r="Z1318" s="16"/>
      <c r="AA1318" s="16"/>
      <c r="AB1318" s="16"/>
      <c r="AC1318" s="16"/>
      <c r="AD1318" s="16"/>
      <c r="AE1318" s="16"/>
      <c r="AF1318" s="16"/>
      <c r="AG1318" s="16"/>
      <c r="AH1318" s="16"/>
      <c r="AI1318" s="16"/>
      <c r="AJ1318" s="16"/>
      <c r="AK1318" s="16"/>
      <c r="AL1318" s="16"/>
      <c r="AM1318" s="16"/>
      <c r="AN1318" s="16"/>
    </row>
    <row r="1319" spans="1:40" x14ac:dyDescent="0.25">
      <c r="A1319" s="16"/>
      <c r="B1319" s="27"/>
      <c r="C1319" s="9"/>
      <c r="D1319" s="6"/>
      <c r="E1319" s="1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  <c r="V1319" s="16"/>
      <c r="W1319" s="16"/>
      <c r="X1319" s="16"/>
      <c r="Y1319" s="16"/>
      <c r="Z1319" s="16"/>
      <c r="AA1319" s="16"/>
      <c r="AB1319" s="16"/>
      <c r="AC1319" s="16"/>
      <c r="AD1319" s="16"/>
      <c r="AE1319" s="16"/>
      <c r="AF1319" s="16"/>
      <c r="AG1319" s="16"/>
      <c r="AH1319" s="16"/>
      <c r="AI1319" s="16"/>
      <c r="AJ1319" s="16"/>
      <c r="AK1319" s="16"/>
      <c r="AL1319" s="16"/>
      <c r="AM1319" s="16"/>
      <c r="AN1319" s="16"/>
    </row>
    <row r="1320" spans="1:40" x14ac:dyDescent="0.25">
      <c r="A1320" s="16"/>
      <c r="B1320" s="27"/>
      <c r="C1320" s="9"/>
      <c r="D1320" s="6"/>
      <c r="E1320" s="1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  <c r="V1320" s="16"/>
      <c r="W1320" s="16"/>
      <c r="X1320" s="16"/>
      <c r="Y1320" s="16"/>
      <c r="Z1320" s="16"/>
      <c r="AA1320" s="16"/>
      <c r="AB1320" s="16"/>
      <c r="AC1320" s="16"/>
      <c r="AD1320" s="16"/>
      <c r="AE1320" s="16"/>
      <c r="AF1320" s="16"/>
      <c r="AG1320" s="16"/>
      <c r="AH1320" s="16"/>
      <c r="AI1320" s="16"/>
      <c r="AJ1320" s="16"/>
      <c r="AK1320" s="16"/>
      <c r="AL1320" s="16"/>
      <c r="AM1320" s="16"/>
      <c r="AN1320" s="16"/>
    </row>
    <row r="1321" spans="1:40" x14ac:dyDescent="0.25">
      <c r="A1321" s="16"/>
      <c r="B1321" s="27"/>
      <c r="C1321" s="9"/>
      <c r="D1321" s="6"/>
      <c r="E1321" s="1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  <c r="V1321" s="16"/>
      <c r="W1321" s="16"/>
      <c r="X1321" s="16"/>
      <c r="Y1321" s="16"/>
      <c r="Z1321" s="16"/>
      <c r="AA1321" s="16"/>
      <c r="AB1321" s="16"/>
      <c r="AC1321" s="16"/>
      <c r="AD1321" s="16"/>
      <c r="AE1321" s="16"/>
      <c r="AF1321" s="16"/>
      <c r="AG1321" s="16"/>
      <c r="AH1321" s="16"/>
      <c r="AI1321" s="16"/>
      <c r="AJ1321" s="16"/>
      <c r="AK1321" s="16"/>
      <c r="AL1321" s="16"/>
      <c r="AM1321" s="16"/>
      <c r="AN1321" s="16"/>
    </row>
    <row r="1322" spans="1:40" x14ac:dyDescent="0.25">
      <c r="A1322" s="16"/>
      <c r="B1322" s="27"/>
      <c r="C1322" s="9"/>
      <c r="D1322" s="6"/>
      <c r="E1322" s="1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  <c r="V1322" s="16"/>
      <c r="W1322" s="16"/>
      <c r="X1322" s="16"/>
      <c r="Y1322" s="16"/>
      <c r="Z1322" s="16"/>
      <c r="AA1322" s="16"/>
      <c r="AB1322" s="16"/>
      <c r="AC1322" s="16"/>
      <c r="AD1322" s="16"/>
      <c r="AE1322" s="16"/>
      <c r="AF1322" s="16"/>
      <c r="AG1322" s="16"/>
      <c r="AH1322" s="16"/>
      <c r="AI1322" s="16"/>
      <c r="AJ1322" s="16"/>
      <c r="AK1322" s="16"/>
      <c r="AL1322" s="16"/>
      <c r="AM1322" s="16"/>
      <c r="AN1322" s="16"/>
    </row>
    <row r="1323" spans="1:40" x14ac:dyDescent="0.25">
      <c r="A1323" s="16"/>
      <c r="B1323" s="27"/>
      <c r="C1323" s="9"/>
      <c r="D1323" s="6"/>
      <c r="E1323" s="1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  <c r="V1323" s="16"/>
      <c r="W1323" s="16"/>
      <c r="X1323" s="16"/>
      <c r="Y1323" s="16"/>
      <c r="Z1323" s="16"/>
      <c r="AA1323" s="16"/>
      <c r="AB1323" s="16"/>
      <c r="AC1323" s="16"/>
      <c r="AD1323" s="16"/>
      <c r="AE1323" s="16"/>
      <c r="AF1323" s="16"/>
      <c r="AG1323" s="16"/>
      <c r="AH1323" s="16"/>
      <c r="AI1323" s="16"/>
      <c r="AJ1323" s="16"/>
      <c r="AK1323" s="16"/>
      <c r="AL1323" s="16"/>
      <c r="AM1323" s="16"/>
      <c r="AN1323" s="16"/>
    </row>
    <row r="1324" spans="1:40" x14ac:dyDescent="0.25">
      <c r="A1324" s="16"/>
      <c r="B1324" s="27"/>
      <c r="C1324" s="9"/>
      <c r="D1324" s="6"/>
      <c r="E1324" s="1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  <c r="V1324" s="16"/>
      <c r="W1324" s="16"/>
      <c r="X1324" s="16"/>
      <c r="Y1324" s="16"/>
      <c r="Z1324" s="16"/>
      <c r="AA1324" s="16"/>
      <c r="AB1324" s="16"/>
      <c r="AC1324" s="16"/>
      <c r="AD1324" s="16"/>
      <c r="AE1324" s="16"/>
      <c r="AF1324" s="16"/>
      <c r="AG1324" s="16"/>
      <c r="AH1324" s="16"/>
      <c r="AI1324" s="16"/>
      <c r="AJ1324" s="16"/>
      <c r="AK1324" s="16"/>
      <c r="AL1324" s="16"/>
      <c r="AM1324" s="16"/>
      <c r="AN1324" s="16"/>
    </row>
    <row r="1325" spans="1:40" x14ac:dyDescent="0.25">
      <c r="A1325" s="16"/>
      <c r="B1325" s="27"/>
      <c r="C1325" s="9"/>
      <c r="D1325" s="6"/>
      <c r="E1325" s="1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  <c r="V1325" s="16"/>
      <c r="W1325" s="16"/>
      <c r="X1325" s="16"/>
      <c r="Y1325" s="16"/>
      <c r="Z1325" s="16"/>
      <c r="AA1325" s="16"/>
      <c r="AB1325" s="16"/>
      <c r="AC1325" s="16"/>
      <c r="AD1325" s="16"/>
      <c r="AE1325" s="16"/>
      <c r="AF1325" s="16"/>
      <c r="AG1325" s="16"/>
      <c r="AH1325" s="16"/>
      <c r="AI1325" s="16"/>
      <c r="AJ1325" s="16"/>
      <c r="AK1325" s="16"/>
      <c r="AL1325" s="16"/>
      <c r="AM1325" s="16"/>
      <c r="AN1325" s="16"/>
    </row>
    <row r="1326" spans="1:40" x14ac:dyDescent="0.25">
      <c r="A1326" s="16"/>
      <c r="B1326" s="27"/>
      <c r="C1326" s="9"/>
      <c r="D1326" s="6"/>
      <c r="E1326" s="1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  <c r="V1326" s="16"/>
      <c r="W1326" s="16"/>
      <c r="X1326" s="16"/>
      <c r="Y1326" s="16"/>
      <c r="Z1326" s="16"/>
      <c r="AA1326" s="16"/>
      <c r="AB1326" s="16"/>
      <c r="AC1326" s="16"/>
      <c r="AD1326" s="16"/>
      <c r="AE1326" s="16"/>
      <c r="AF1326" s="16"/>
      <c r="AG1326" s="16"/>
      <c r="AH1326" s="16"/>
      <c r="AI1326" s="16"/>
      <c r="AJ1326" s="16"/>
      <c r="AK1326" s="16"/>
      <c r="AL1326" s="16"/>
      <c r="AM1326" s="16"/>
      <c r="AN1326" s="16"/>
    </row>
    <row r="1327" spans="1:40" x14ac:dyDescent="0.25">
      <c r="A1327" s="16"/>
      <c r="B1327" s="27"/>
      <c r="C1327" s="9"/>
      <c r="D1327" s="6"/>
      <c r="E1327" s="1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  <c r="V1327" s="16"/>
      <c r="W1327" s="16"/>
      <c r="X1327" s="16"/>
      <c r="Y1327" s="16"/>
      <c r="Z1327" s="16"/>
      <c r="AA1327" s="16"/>
      <c r="AB1327" s="16"/>
      <c r="AC1327" s="16"/>
      <c r="AD1327" s="16"/>
      <c r="AE1327" s="16"/>
      <c r="AF1327" s="16"/>
      <c r="AG1327" s="16"/>
      <c r="AH1327" s="16"/>
      <c r="AI1327" s="16"/>
      <c r="AJ1327" s="16"/>
      <c r="AK1327" s="16"/>
      <c r="AL1327" s="16"/>
      <c r="AM1327" s="16"/>
      <c r="AN1327" s="16"/>
    </row>
    <row r="1328" spans="1:40" x14ac:dyDescent="0.25">
      <c r="A1328" s="16"/>
      <c r="B1328" s="27"/>
      <c r="C1328" s="9"/>
      <c r="D1328" s="6"/>
      <c r="E1328" s="1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  <c r="V1328" s="16"/>
      <c r="W1328" s="16"/>
      <c r="X1328" s="16"/>
      <c r="Y1328" s="16"/>
      <c r="Z1328" s="16"/>
      <c r="AA1328" s="16"/>
      <c r="AB1328" s="16"/>
      <c r="AC1328" s="16"/>
      <c r="AD1328" s="16"/>
      <c r="AE1328" s="16"/>
      <c r="AF1328" s="16"/>
      <c r="AG1328" s="16"/>
      <c r="AH1328" s="16"/>
      <c r="AI1328" s="16"/>
      <c r="AJ1328" s="16"/>
      <c r="AK1328" s="16"/>
      <c r="AL1328" s="16"/>
      <c r="AM1328" s="16"/>
      <c r="AN1328" s="16"/>
    </row>
    <row r="1329" spans="1:40" x14ac:dyDescent="0.25">
      <c r="A1329" s="16"/>
      <c r="B1329" s="27"/>
      <c r="C1329" s="9"/>
      <c r="D1329" s="6"/>
      <c r="E1329" s="1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  <c r="V1329" s="16"/>
      <c r="W1329" s="16"/>
      <c r="X1329" s="16"/>
      <c r="Y1329" s="16"/>
      <c r="Z1329" s="16"/>
      <c r="AA1329" s="16"/>
      <c r="AB1329" s="16"/>
      <c r="AC1329" s="16"/>
      <c r="AD1329" s="16"/>
      <c r="AE1329" s="16"/>
      <c r="AF1329" s="16"/>
      <c r="AG1329" s="16"/>
      <c r="AH1329" s="16"/>
      <c r="AI1329" s="16"/>
      <c r="AJ1329" s="16"/>
      <c r="AK1329" s="16"/>
      <c r="AL1329" s="16"/>
      <c r="AM1329" s="16"/>
      <c r="AN1329" s="16"/>
    </row>
    <row r="1330" spans="1:40" x14ac:dyDescent="0.25">
      <c r="A1330" s="16"/>
      <c r="B1330" s="27"/>
      <c r="C1330" s="9"/>
      <c r="D1330" s="6"/>
      <c r="E1330" s="1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  <c r="V1330" s="16"/>
      <c r="W1330" s="16"/>
      <c r="X1330" s="16"/>
      <c r="Y1330" s="16"/>
      <c r="Z1330" s="16"/>
      <c r="AA1330" s="16"/>
      <c r="AB1330" s="16"/>
      <c r="AC1330" s="16"/>
      <c r="AD1330" s="16"/>
      <c r="AE1330" s="16"/>
      <c r="AF1330" s="16"/>
      <c r="AG1330" s="16"/>
      <c r="AH1330" s="16"/>
      <c r="AI1330" s="16"/>
      <c r="AJ1330" s="16"/>
      <c r="AK1330" s="16"/>
      <c r="AL1330" s="16"/>
      <c r="AM1330" s="16"/>
      <c r="AN1330" s="16"/>
    </row>
    <row r="1331" spans="1:40" x14ac:dyDescent="0.25">
      <c r="A1331" s="16"/>
      <c r="B1331" s="27"/>
      <c r="C1331" s="9"/>
      <c r="D1331" s="6"/>
      <c r="E1331" s="1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  <c r="V1331" s="16"/>
      <c r="W1331" s="16"/>
      <c r="X1331" s="16"/>
      <c r="Y1331" s="16"/>
      <c r="Z1331" s="16"/>
      <c r="AA1331" s="16"/>
      <c r="AB1331" s="16"/>
      <c r="AC1331" s="16"/>
      <c r="AD1331" s="16"/>
      <c r="AE1331" s="16"/>
      <c r="AF1331" s="16"/>
      <c r="AG1331" s="16"/>
      <c r="AH1331" s="16"/>
      <c r="AI1331" s="16"/>
      <c r="AJ1331" s="16"/>
      <c r="AK1331" s="16"/>
      <c r="AL1331" s="16"/>
      <c r="AM1331" s="16"/>
      <c r="AN1331" s="16"/>
    </row>
    <row r="1332" spans="1:40" x14ac:dyDescent="0.25">
      <c r="A1332" s="16"/>
      <c r="B1332" s="27"/>
      <c r="C1332" s="9"/>
      <c r="D1332" s="6"/>
      <c r="E1332" s="1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  <c r="V1332" s="16"/>
      <c r="W1332" s="16"/>
      <c r="X1332" s="16"/>
      <c r="Y1332" s="16"/>
      <c r="Z1332" s="16"/>
      <c r="AA1332" s="16"/>
      <c r="AB1332" s="16"/>
      <c r="AC1332" s="16"/>
      <c r="AD1332" s="16"/>
      <c r="AE1332" s="16"/>
      <c r="AF1332" s="16"/>
      <c r="AG1332" s="16"/>
      <c r="AH1332" s="16"/>
      <c r="AI1332" s="16"/>
      <c r="AJ1332" s="16"/>
      <c r="AK1332" s="16"/>
      <c r="AL1332" s="16"/>
      <c r="AM1332" s="16"/>
      <c r="AN1332" s="16"/>
    </row>
    <row r="1333" spans="1:40" x14ac:dyDescent="0.25">
      <c r="A1333" s="16"/>
      <c r="B1333" s="27"/>
      <c r="C1333" s="9"/>
      <c r="D1333" s="6"/>
      <c r="E1333" s="1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  <c r="V1333" s="16"/>
      <c r="W1333" s="16"/>
      <c r="X1333" s="16"/>
      <c r="Y1333" s="16"/>
      <c r="Z1333" s="16"/>
      <c r="AA1333" s="16"/>
      <c r="AB1333" s="16"/>
      <c r="AC1333" s="16"/>
      <c r="AD1333" s="16"/>
      <c r="AE1333" s="16"/>
      <c r="AF1333" s="16"/>
      <c r="AG1333" s="16"/>
      <c r="AH1333" s="16"/>
      <c r="AI1333" s="16"/>
      <c r="AJ1333" s="16"/>
      <c r="AK1333" s="16"/>
      <c r="AL1333" s="16"/>
      <c r="AM1333" s="16"/>
      <c r="AN1333" s="16"/>
    </row>
    <row r="1334" spans="1:40" x14ac:dyDescent="0.25">
      <c r="A1334" s="16"/>
      <c r="B1334" s="27"/>
      <c r="C1334" s="9"/>
      <c r="D1334" s="6"/>
      <c r="E1334" s="1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  <c r="V1334" s="16"/>
      <c r="W1334" s="16"/>
      <c r="X1334" s="16"/>
      <c r="Y1334" s="16"/>
      <c r="Z1334" s="16"/>
      <c r="AA1334" s="16"/>
      <c r="AB1334" s="16"/>
      <c r="AC1334" s="16"/>
      <c r="AD1334" s="16"/>
      <c r="AE1334" s="16"/>
      <c r="AF1334" s="16"/>
      <c r="AG1334" s="16"/>
      <c r="AH1334" s="16"/>
      <c r="AI1334" s="16"/>
      <c r="AJ1334" s="16"/>
      <c r="AK1334" s="16"/>
      <c r="AL1334" s="16"/>
      <c r="AM1334" s="16"/>
      <c r="AN1334" s="16"/>
    </row>
  </sheetData>
  <sheetProtection formatCells="0" sort="0" autoFilter="0" pivotTables="0"/>
  <autoFilter ref="A7:AN458" xr:uid="{00000000-0009-0000-0000-000000000000}">
    <filterColumn colId="0">
      <customFilters>
        <customFilter operator="notEqual" val=" "/>
      </customFilters>
    </filterColumn>
    <sortState ref="A8:AN340">
      <sortCondition ref="A7:A319"/>
    </sortState>
  </autoFilter>
  <mergeCells count="4">
    <mergeCell ref="I6:T6"/>
    <mergeCell ref="U6:AF6"/>
    <mergeCell ref="C2:C5"/>
    <mergeCell ref="D2:D5"/>
  </mergeCells>
  <printOptions horizontalCentered="1"/>
  <pageMargins left="0" right="0" top="0.19685039370078741" bottom="0.19685039370078741" header="0.19685039370078741" footer="0.31496062992125984"/>
  <pageSetup paperSize="9" scale="1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80F68-0710-4B6A-932E-1C335EC60E9D}">
  <dimension ref="A1:F99"/>
  <sheetViews>
    <sheetView topLeftCell="A25" workbookViewId="0">
      <selection activeCell="D46" sqref="D46"/>
    </sheetView>
  </sheetViews>
  <sheetFormatPr defaultRowHeight="15" x14ac:dyDescent="0.25"/>
  <cols>
    <col min="1" max="1" width="19.85546875" customWidth="1"/>
    <col min="2" max="2" width="19" customWidth="1"/>
    <col min="3" max="3" width="22" customWidth="1"/>
    <col min="4" max="4" width="25" customWidth="1"/>
    <col min="5" max="5" width="21.5703125" customWidth="1"/>
    <col min="6" max="6" width="21.7109375" customWidth="1"/>
  </cols>
  <sheetData>
    <row r="1" spans="1:6" x14ac:dyDescent="0.25">
      <c r="A1" s="40"/>
      <c r="B1" s="40"/>
      <c r="C1" s="36"/>
      <c r="D1" s="40"/>
      <c r="E1" s="40"/>
    </row>
    <row r="2" spans="1:6" x14ac:dyDescent="0.25">
      <c r="A2" s="40">
        <v>3257.55</v>
      </c>
      <c r="B2" s="40">
        <v>3257.55</v>
      </c>
      <c r="C2" s="40">
        <v>3257.55</v>
      </c>
      <c r="D2" s="40">
        <v>12319.31</v>
      </c>
      <c r="E2" s="38">
        <v>181.52</v>
      </c>
    </row>
    <row r="3" spans="1:6" x14ac:dyDescent="0.25">
      <c r="A3" s="38">
        <v>951.62</v>
      </c>
      <c r="B3" s="38">
        <v>951.62</v>
      </c>
      <c r="C3" s="38">
        <v>951.62</v>
      </c>
      <c r="D3" s="40">
        <v>3257.55</v>
      </c>
      <c r="E3" s="40">
        <v>3264.87</v>
      </c>
    </row>
    <row r="4" spans="1:6" x14ac:dyDescent="0.25">
      <c r="A4" s="40">
        <v>4664.5600000000004</v>
      </c>
      <c r="B4" s="40">
        <v>6347.55</v>
      </c>
      <c r="C4" s="40">
        <v>6347.55</v>
      </c>
      <c r="D4" s="38">
        <v>951.62</v>
      </c>
      <c r="E4" s="38">
        <v>951.62</v>
      </c>
    </row>
    <row r="5" spans="1:6" x14ac:dyDescent="0.25">
      <c r="A5" s="40">
        <v>13019.29</v>
      </c>
      <c r="B5" s="40">
        <v>12182.86</v>
      </c>
      <c r="C5" s="40">
        <v>12702.99</v>
      </c>
      <c r="D5" s="40">
        <v>6180.06</v>
      </c>
      <c r="E5" s="40">
        <v>5639.1</v>
      </c>
    </row>
    <row r="6" spans="1:6" x14ac:dyDescent="0.25">
      <c r="A6" s="38">
        <v>786.64</v>
      </c>
      <c r="B6" s="40">
        <v>1573.28</v>
      </c>
      <c r="C6" s="40">
        <v>1573.28</v>
      </c>
      <c r="D6" s="40">
        <v>1573.28</v>
      </c>
      <c r="E6" s="40">
        <v>12288.56</v>
      </c>
    </row>
    <row r="7" spans="1:6" x14ac:dyDescent="0.25">
      <c r="A7" s="38">
        <v>533</v>
      </c>
      <c r="B7" s="38">
        <v>533</v>
      </c>
      <c r="C7" s="38">
        <v>533</v>
      </c>
      <c r="D7" s="38">
        <v>533</v>
      </c>
      <c r="E7" s="40">
        <v>1573.28</v>
      </c>
    </row>
    <row r="8" spans="1:6" x14ac:dyDescent="0.25">
      <c r="A8" s="40">
        <v>24447.39</v>
      </c>
      <c r="B8" s="40">
        <v>28955.38</v>
      </c>
      <c r="C8" s="40">
        <v>29636.79</v>
      </c>
      <c r="D8" s="40">
        <v>28920.82</v>
      </c>
      <c r="E8" s="38">
        <v>533</v>
      </c>
    </row>
    <row r="9" spans="1:6" x14ac:dyDescent="0.25">
      <c r="A9" s="38">
        <v>62.97</v>
      </c>
      <c r="B9" s="38">
        <v>46.73</v>
      </c>
      <c r="C9" s="38">
        <v>46.73</v>
      </c>
      <c r="D9" s="38">
        <v>46.73</v>
      </c>
      <c r="E9" s="40">
        <v>28101.8</v>
      </c>
    </row>
    <row r="10" spans="1:6" x14ac:dyDescent="0.25">
      <c r="A10" s="40">
        <v>1080</v>
      </c>
      <c r="B10" s="40">
        <v>1224</v>
      </c>
      <c r="C10" s="40">
        <v>1197</v>
      </c>
      <c r="D10" s="40">
        <v>1323</v>
      </c>
      <c r="E10" s="38">
        <v>46.73</v>
      </c>
    </row>
    <row r="11" spans="1:6" x14ac:dyDescent="0.25">
      <c r="A11" s="38">
        <v>91.23</v>
      </c>
      <c r="B11" s="38">
        <v>182.46</v>
      </c>
      <c r="C11" s="38">
        <v>182.46</v>
      </c>
      <c r="D11" s="38">
        <v>182.46</v>
      </c>
      <c r="E11" s="38">
        <v>855</v>
      </c>
      <c r="F11" s="40"/>
    </row>
    <row r="12" spans="1:6" x14ac:dyDescent="0.25">
      <c r="A12" s="38">
        <v>55</v>
      </c>
      <c r="B12" s="38">
        <v>55</v>
      </c>
      <c r="C12" s="38">
        <v>55</v>
      </c>
      <c r="D12" s="38">
        <v>55</v>
      </c>
      <c r="E12" s="38">
        <v>182.46</v>
      </c>
      <c r="F12" s="40"/>
    </row>
    <row r="13" spans="1:6" x14ac:dyDescent="0.25">
      <c r="A13" s="40">
        <v>2639.66</v>
      </c>
      <c r="B13" s="40">
        <v>2639.66</v>
      </c>
      <c r="C13" s="40">
        <v>2984.15</v>
      </c>
      <c r="D13" s="40">
        <v>3623.05</v>
      </c>
      <c r="E13" s="38">
        <v>55</v>
      </c>
      <c r="F13" s="36"/>
    </row>
    <row r="14" spans="1:6" x14ac:dyDescent="0.25">
      <c r="A14" s="38">
        <v>84.5</v>
      </c>
      <c r="B14" s="38">
        <v>84.5</v>
      </c>
      <c r="C14" s="38">
        <v>84.5</v>
      </c>
      <c r="D14" s="38">
        <v>84.5</v>
      </c>
      <c r="E14" s="40">
        <v>3623.05</v>
      </c>
      <c r="F14" s="40"/>
    </row>
    <row r="15" spans="1:6" x14ac:dyDescent="0.25">
      <c r="A15" s="38">
        <v>44.42</v>
      </c>
      <c r="B15" s="38">
        <v>44.42</v>
      </c>
      <c r="C15" s="38">
        <v>44.42</v>
      </c>
      <c r="D15" s="38">
        <v>44.42</v>
      </c>
      <c r="E15" s="38">
        <v>84.5</v>
      </c>
      <c r="F15" s="40"/>
    </row>
    <row r="16" spans="1:6" x14ac:dyDescent="0.25">
      <c r="A16" s="38">
        <v>265.10000000000002</v>
      </c>
      <c r="B16" s="38">
        <v>265.10000000000002</v>
      </c>
      <c r="C16" s="38">
        <v>265.10000000000002</v>
      </c>
      <c r="D16" s="38">
        <v>140.81</v>
      </c>
      <c r="E16" s="38">
        <v>44.42</v>
      </c>
      <c r="F16" s="40"/>
    </row>
    <row r="17" spans="1:6" x14ac:dyDescent="0.25">
      <c r="A17" s="40">
        <v>5856.45</v>
      </c>
      <c r="B17" s="40">
        <v>5314.02</v>
      </c>
      <c r="C17" s="40">
        <v>5048.8500000000004</v>
      </c>
      <c r="D17" s="38">
        <v>26.06</v>
      </c>
      <c r="E17" s="38">
        <v>140.81</v>
      </c>
      <c r="F17" s="40"/>
    </row>
    <row r="18" spans="1:6" x14ac:dyDescent="0.25">
      <c r="A18" s="38">
        <v>391.6</v>
      </c>
      <c r="B18" s="38">
        <v>391.6</v>
      </c>
      <c r="C18" s="38">
        <v>391.6</v>
      </c>
      <c r="D18" s="38">
        <v>415.44</v>
      </c>
      <c r="E18" s="38">
        <v>26.06</v>
      </c>
      <c r="F18" s="40"/>
    </row>
    <row r="19" spans="1:6" x14ac:dyDescent="0.25">
      <c r="A19" s="40">
        <v>1780.96</v>
      </c>
      <c r="B19" s="40">
        <v>1543.36</v>
      </c>
      <c r="C19" s="40">
        <v>1618.42</v>
      </c>
      <c r="D19" s="40">
        <v>4807.17</v>
      </c>
      <c r="E19" s="38">
        <v>415.44</v>
      </c>
      <c r="F19" s="40"/>
    </row>
    <row r="20" spans="1:6" x14ac:dyDescent="0.25">
      <c r="A20" s="38">
        <v>48</v>
      </c>
      <c r="B20" s="38">
        <v>50</v>
      </c>
      <c r="C20" s="38">
        <v>54</v>
      </c>
      <c r="D20" s="40">
        <v>1032.9000000000001</v>
      </c>
      <c r="E20" s="40">
        <v>5148.87</v>
      </c>
      <c r="F20" s="40"/>
    </row>
    <row r="21" spans="1:6" x14ac:dyDescent="0.25">
      <c r="A21" s="40">
        <f>SUM(A2:A20)</f>
        <v>60059.939999999995</v>
      </c>
      <c r="B21" s="40">
        <f>SUM(B2:B20)</f>
        <v>65642.09</v>
      </c>
      <c r="C21" s="40">
        <f>SUM(C2:C20)</f>
        <v>66975.009999999995</v>
      </c>
      <c r="D21" s="40">
        <v>1271.9100000000001</v>
      </c>
      <c r="E21" s="38">
        <v>728.25</v>
      </c>
      <c r="F21" s="39"/>
    </row>
    <row r="22" spans="1:6" x14ac:dyDescent="0.25">
      <c r="A22" s="36">
        <v>60059.94</v>
      </c>
      <c r="B22" s="36">
        <v>65642.09</v>
      </c>
      <c r="C22" s="40">
        <v>66975.009999999995</v>
      </c>
      <c r="D22" s="38">
        <v>66</v>
      </c>
      <c r="E22" s="40">
        <v>1283.4100000000001</v>
      </c>
    </row>
    <row r="23" spans="1:6" x14ac:dyDescent="0.25">
      <c r="A23" s="40"/>
      <c r="B23" s="38"/>
      <c r="C23" s="40"/>
      <c r="D23" s="40">
        <f>SUM(D2:D22)</f>
        <v>66855.09</v>
      </c>
      <c r="E23" s="38">
        <v>66</v>
      </c>
    </row>
    <row r="24" spans="1:6" x14ac:dyDescent="0.25">
      <c r="A24" s="40"/>
      <c r="B24" s="40"/>
      <c r="C24" s="40"/>
      <c r="D24" s="40">
        <v>66855.09</v>
      </c>
      <c r="E24" s="40">
        <f>SUM(E2:E23)</f>
        <v>65233.750000000007</v>
      </c>
    </row>
    <row r="25" spans="1:6" x14ac:dyDescent="0.25">
      <c r="A25" s="40"/>
      <c r="B25" s="40"/>
      <c r="C25" s="40"/>
      <c r="D25" s="40"/>
      <c r="E25" s="40">
        <v>65233.75</v>
      </c>
    </row>
    <row r="26" spans="1:6" x14ac:dyDescent="0.25">
      <c r="A26" s="40"/>
      <c r="B26" s="40"/>
      <c r="C26" s="40"/>
      <c r="D26" s="38"/>
      <c r="E26" s="38"/>
    </row>
    <row r="27" spans="1:6" x14ac:dyDescent="0.25">
      <c r="A27" s="40"/>
      <c r="B27" s="40"/>
      <c r="C27" s="40"/>
      <c r="D27" s="40"/>
      <c r="E27" s="38"/>
    </row>
    <row r="28" spans="1:6" x14ac:dyDescent="0.25">
      <c r="A28" s="40">
        <v>3264.87</v>
      </c>
      <c r="B28" s="40">
        <v>3264.87</v>
      </c>
      <c r="C28" s="38">
        <v>264.06</v>
      </c>
      <c r="D28" s="40">
        <v>4230.93</v>
      </c>
      <c r="E28" s="40"/>
    </row>
    <row r="29" spans="1:6" x14ac:dyDescent="0.25">
      <c r="A29" s="38">
        <v>951.62</v>
      </c>
      <c r="B29" s="38">
        <v>951.62</v>
      </c>
      <c r="C29" s="40">
        <v>3264.87</v>
      </c>
      <c r="D29" s="38">
        <v>951.62</v>
      </c>
      <c r="E29" s="38"/>
    </row>
    <row r="30" spans="1:6" x14ac:dyDescent="0.25">
      <c r="A30" s="40">
        <v>5639.1</v>
      </c>
      <c r="B30" s="40">
        <v>5132.68</v>
      </c>
      <c r="C30" s="38">
        <v>951.62</v>
      </c>
      <c r="D30" s="40">
        <v>5385.62</v>
      </c>
      <c r="E30" s="40"/>
    </row>
    <row r="31" spans="1:6" x14ac:dyDescent="0.25">
      <c r="A31" s="40">
        <v>12745.44</v>
      </c>
      <c r="B31" s="40">
        <v>12303.94</v>
      </c>
      <c r="C31" s="40">
        <v>5464.87</v>
      </c>
      <c r="D31" s="40">
        <v>13115.73</v>
      </c>
      <c r="E31" s="38"/>
      <c r="F31" s="36">
        <v>60059.94</v>
      </c>
    </row>
    <row r="32" spans="1:6" x14ac:dyDescent="0.25">
      <c r="A32" s="40">
        <v>1573.28</v>
      </c>
      <c r="B32" s="40">
        <v>1573.28</v>
      </c>
      <c r="C32" s="40">
        <v>12319.31</v>
      </c>
      <c r="D32" s="40">
        <v>2081.7600000000002</v>
      </c>
      <c r="E32" s="40"/>
      <c r="F32" s="36">
        <v>65642.09</v>
      </c>
    </row>
    <row r="33" spans="1:6" x14ac:dyDescent="0.25">
      <c r="A33" s="38">
        <v>533</v>
      </c>
      <c r="B33" s="38">
        <v>533</v>
      </c>
      <c r="C33" s="40">
        <v>2081.7600000000002</v>
      </c>
      <c r="D33" s="38">
        <v>533</v>
      </c>
      <c r="E33" s="40"/>
      <c r="F33" s="40">
        <v>66975.009999999995</v>
      </c>
    </row>
    <row r="34" spans="1:6" x14ac:dyDescent="0.25">
      <c r="A34" s="40">
        <v>31425.35</v>
      </c>
      <c r="B34" s="40">
        <v>32192.880000000001</v>
      </c>
      <c r="C34" s="38">
        <v>533</v>
      </c>
      <c r="D34" s="40">
        <v>32522.78</v>
      </c>
      <c r="E34" s="40"/>
      <c r="F34" s="40">
        <v>66855.09</v>
      </c>
    </row>
    <row r="35" spans="1:6" x14ac:dyDescent="0.25">
      <c r="A35" s="38">
        <v>46.73</v>
      </c>
      <c r="B35" s="38">
        <v>46.73</v>
      </c>
      <c r="C35" s="40">
        <v>31987.55</v>
      </c>
      <c r="D35" s="38">
        <v>50.01</v>
      </c>
      <c r="E35" s="38"/>
      <c r="F35" s="40">
        <v>65233.75</v>
      </c>
    </row>
    <row r="36" spans="1:6" x14ac:dyDescent="0.25">
      <c r="A36" s="38">
        <v>990</v>
      </c>
      <c r="B36" s="38">
        <v>945</v>
      </c>
      <c r="C36" s="38">
        <v>50.01</v>
      </c>
      <c r="D36" s="38">
        <v>621</v>
      </c>
      <c r="E36" s="40"/>
      <c r="F36" s="40">
        <v>69315.990000000005</v>
      </c>
    </row>
    <row r="37" spans="1:6" x14ac:dyDescent="0.25">
      <c r="A37" s="38">
        <v>182.46</v>
      </c>
      <c r="B37" s="38">
        <v>182.46</v>
      </c>
      <c r="C37" s="40">
        <v>1188</v>
      </c>
      <c r="D37" s="38">
        <v>216.34</v>
      </c>
      <c r="E37" s="40"/>
      <c r="F37" s="42">
        <v>67124.19</v>
      </c>
    </row>
    <row r="38" spans="1:6" x14ac:dyDescent="0.25">
      <c r="A38" s="38">
        <v>55</v>
      </c>
      <c r="B38" s="38">
        <v>55</v>
      </c>
      <c r="C38" s="38">
        <v>216.34</v>
      </c>
      <c r="D38" s="38">
        <v>55</v>
      </c>
      <c r="E38" s="40"/>
      <c r="F38" s="39">
        <v>67739.11</v>
      </c>
    </row>
    <row r="39" spans="1:6" x14ac:dyDescent="0.25">
      <c r="A39" s="40">
        <v>3623.05</v>
      </c>
      <c r="B39" s="40">
        <v>2984.15</v>
      </c>
      <c r="C39" s="38">
        <v>55</v>
      </c>
      <c r="D39" s="40">
        <v>2823.23</v>
      </c>
      <c r="E39" s="38"/>
      <c r="F39" s="40">
        <v>69084.990000000005</v>
      </c>
    </row>
    <row r="40" spans="1:6" x14ac:dyDescent="0.25">
      <c r="A40" s="38">
        <v>84.5</v>
      </c>
      <c r="B40" s="38">
        <v>84.5</v>
      </c>
      <c r="C40" s="40">
        <v>2984.15</v>
      </c>
      <c r="D40" s="38">
        <v>84.5</v>
      </c>
      <c r="E40" s="40"/>
      <c r="F40" s="65">
        <f>SUM(F31:F39)</f>
        <v>598030.16</v>
      </c>
    </row>
    <row r="41" spans="1:6" x14ac:dyDescent="0.25">
      <c r="A41" s="38">
        <v>44.42</v>
      </c>
      <c r="B41" s="38">
        <v>44.42</v>
      </c>
      <c r="C41" s="38">
        <v>84.5</v>
      </c>
      <c r="D41" s="38">
        <v>140.81</v>
      </c>
      <c r="E41" s="38"/>
    </row>
    <row r="42" spans="1:6" x14ac:dyDescent="0.25">
      <c r="A42" s="38">
        <v>140.81</v>
      </c>
      <c r="B42" s="38">
        <v>140.81</v>
      </c>
      <c r="C42" s="38">
        <v>140.81</v>
      </c>
      <c r="D42" s="40">
        <v>4874.0600000000004</v>
      </c>
      <c r="E42" s="38"/>
    </row>
    <row r="43" spans="1:6" x14ac:dyDescent="0.25">
      <c r="A43" s="38">
        <v>26.06</v>
      </c>
      <c r="B43" s="40">
        <v>4931.84</v>
      </c>
      <c r="C43" s="40">
        <v>4809.3900000000003</v>
      </c>
      <c r="D43" s="40">
        <v>1354.6</v>
      </c>
      <c r="E43" s="38"/>
    </row>
    <row r="44" spans="1:6" x14ac:dyDescent="0.25">
      <c r="A44" s="38">
        <v>415.44</v>
      </c>
      <c r="B44" s="38">
        <v>423.6</v>
      </c>
      <c r="C44" s="40">
        <v>1295.8699999999999</v>
      </c>
      <c r="D44" s="38">
        <v>44</v>
      </c>
      <c r="E44" s="40"/>
    </row>
    <row r="45" spans="1:6" x14ac:dyDescent="0.25">
      <c r="A45" s="40">
        <v>5352.5</v>
      </c>
      <c r="B45" s="40">
        <v>1283.4100000000001</v>
      </c>
      <c r="C45" s="38">
        <v>48</v>
      </c>
      <c r="D45" s="40">
        <f>SUM(D28:D44)</f>
        <v>69084.990000000005</v>
      </c>
      <c r="E45" s="40"/>
    </row>
    <row r="46" spans="1:6" x14ac:dyDescent="0.25">
      <c r="A46" s="38">
        <v>728.25</v>
      </c>
      <c r="B46" s="38">
        <v>50</v>
      </c>
      <c r="C46" s="40">
        <f>SUM(C28:C45)</f>
        <v>67739.109999999986</v>
      </c>
      <c r="D46" s="40">
        <v>69084.990000000005</v>
      </c>
      <c r="E46" s="38"/>
    </row>
    <row r="47" spans="1:6" x14ac:dyDescent="0.25">
      <c r="A47" s="40">
        <v>1428.11</v>
      </c>
      <c r="B47" s="39">
        <f>SUM(B28:B46)</f>
        <v>67124.190000000017</v>
      </c>
      <c r="C47" s="39">
        <v>67739.11</v>
      </c>
      <c r="D47" s="40"/>
      <c r="E47" s="40"/>
    </row>
    <row r="48" spans="1:6" x14ac:dyDescent="0.25">
      <c r="A48" s="38">
        <v>66</v>
      </c>
      <c r="B48" s="42">
        <v>67124.19</v>
      </c>
      <c r="C48" s="40"/>
      <c r="D48" s="39"/>
      <c r="E48" s="39"/>
    </row>
    <row r="49" spans="1:6" x14ac:dyDescent="0.25">
      <c r="A49" s="39">
        <f>SUM(A28:A48)</f>
        <v>69315.990000000005</v>
      </c>
      <c r="D49" s="40"/>
      <c r="E49" s="40"/>
    </row>
    <row r="50" spans="1:6" x14ac:dyDescent="0.25">
      <c r="A50" s="40">
        <v>69315.990000000005</v>
      </c>
      <c r="B50" s="40"/>
      <c r="C50" s="40"/>
    </row>
    <row r="51" spans="1:6" x14ac:dyDescent="0.25">
      <c r="A51" s="40"/>
      <c r="B51" s="40"/>
      <c r="C51" s="40"/>
      <c r="D51" s="40"/>
    </row>
    <row r="52" spans="1:6" x14ac:dyDescent="0.25">
      <c r="A52" s="38"/>
      <c r="B52" s="38"/>
      <c r="C52" s="38"/>
      <c r="D52" s="38"/>
    </row>
    <row r="53" spans="1:6" x14ac:dyDescent="0.25">
      <c r="A53" s="40"/>
      <c r="B53" s="40"/>
      <c r="C53" s="40"/>
      <c r="D53" s="40"/>
    </row>
    <row r="54" spans="1:6" x14ac:dyDescent="0.25">
      <c r="A54" s="40"/>
      <c r="B54" s="40"/>
      <c r="C54" s="40"/>
      <c r="D54" s="38"/>
    </row>
    <row r="55" spans="1:6" x14ac:dyDescent="0.25">
      <c r="A55" s="38"/>
      <c r="B55" s="38"/>
      <c r="C55" s="38"/>
      <c r="D55" s="40"/>
    </row>
    <row r="56" spans="1:6" x14ac:dyDescent="0.25">
      <c r="A56" s="40"/>
      <c r="B56" s="38"/>
      <c r="C56" s="38"/>
      <c r="D56" s="38"/>
      <c r="F56" s="40"/>
    </row>
    <row r="57" spans="1:6" x14ac:dyDescent="0.25">
      <c r="A57" s="38"/>
      <c r="B57" s="40"/>
      <c r="C57" s="40"/>
      <c r="D57" s="38"/>
      <c r="F57" s="40"/>
    </row>
    <row r="58" spans="1:6" x14ac:dyDescent="0.25">
      <c r="A58" s="38"/>
      <c r="B58" s="38"/>
      <c r="C58" s="38"/>
      <c r="D58" s="38"/>
      <c r="F58" s="40"/>
    </row>
    <row r="59" spans="1:6" x14ac:dyDescent="0.25">
      <c r="A59" s="38"/>
      <c r="B59" s="40"/>
      <c r="C59" s="40"/>
      <c r="D59" s="40"/>
      <c r="F59" s="40"/>
    </row>
    <row r="60" spans="1:6" x14ac:dyDescent="0.25">
      <c r="A60" s="40"/>
      <c r="B60" s="38"/>
      <c r="C60" s="38"/>
      <c r="D60" s="38"/>
      <c r="F60" s="40"/>
    </row>
    <row r="61" spans="1:6" x14ac:dyDescent="0.25">
      <c r="A61" s="38"/>
      <c r="B61" s="40"/>
      <c r="C61" s="40"/>
      <c r="D61" s="40"/>
      <c r="F61" s="40"/>
    </row>
    <row r="62" spans="1:6" x14ac:dyDescent="0.25">
      <c r="A62" s="40"/>
      <c r="B62" s="40"/>
      <c r="C62" s="40"/>
      <c r="D62" s="38"/>
      <c r="F62" s="42"/>
    </row>
    <row r="63" spans="1:6" x14ac:dyDescent="0.25">
      <c r="A63" s="40"/>
      <c r="B63" s="40"/>
      <c r="C63" s="40"/>
      <c r="D63" s="40"/>
      <c r="F63" s="36"/>
    </row>
    <row r="64" spans="1:6" x14ac:dyDescent="0.25">
      <c r="A64" s="38"/>
      <c r="B64" s="40"/>
      <c r="C64" s="40"/>
      <c r="D64" s="38"/>
      <c r="F64" s="40"/>
    </row>
    <row r="65" spans="1:6" x14ac:dyDescent="0.25">
      <c r="A65" s="40"/>
      <c r="B65" s="38"/>
      <c r="C65" s="38"/>
      <c r="D65" s="40"/>
      <c r="F65" s="39"/>
    </row>
    <row r="66" spans="1:6" x14ac:dyDescent="0.25">
      <c r="A66" s="38"/>
      <c r="B66" s="40"/>
      <c r="C66" s="40"/>
      <c r="D66" s="38"/>
    </row>
    <row r="67" spans="1:6" x14ac:dyDescent="0.25">
      <c r="A67" s="40"/>
      <c r="B67" s="40"/>
      <c r="C67" s="40"/>
      <c r="D67" s="38"/>
    </row>
    <row r="68" spans="1:6" x14ac:dyDescent="0.25">
      <c r="A68" s="38"/>
      <c r="B68" s="38"/>
      <c r="C68" s="40"/>
      <c r="D68" s="40"/>
    </row>
    <row r="69" spans="1:6" x14ac:dyDescent="0.25">
      <c r="A69" s="40"/>
      <c r="B69" s="38"/>
      <c r="C69" s="38"/>
      <c r="D69" s="40"/>
    </row>
    <row r="70" spans="1:6" x14ac:dyDescent="0.25">
      <c r="A70" s="40"/>
      <c r="B70" s="40"/>
      <c r="C70" s="40"/>
      <c r="D70" s="40"/>
    </row>
    <row r="71" spans="1:6" x14ac:dyDescent="0.25">
      <c r="A71" s="38"/>
      <c r="B71" s="38"/>
      <c r="C71" s="38"/>
      <c r="D71" s="40"/>
    </row>
    <row r="72" spans="1:6" x14ac:dyDescent="0.25">
      <c r="A72" s="40"/>
      <c r="B72" s="38"/>
      <c r="C72" s="38"/>
      <c r="D72" s="40"/>
    </row>
    <row r="73" spans="1:6" x14ac:dyDescent="0.25">
      <c r="A73" s="40"/>
      <c r="B73" s="38"/>
      <c r="C73" s="38"/>
      <c r="D73" s="40"/>
    </row>
    <row r="74" spans="1:6" x14ac:dyDescent="0.25">
      <c r="A74" s="38"/>
      <c r="B74" s="40"/>
      <c r="C74" s="40"/>
      <c r="D74" s="38"/>
    </row>
    <row r="75" spans="1:6" x14ac:dyDescent="0.25">
      <c r="A75" s="38"/>
      <c r="B75" s="40"/>
      <c r="C75" s="40"/>
      <c r="D75" s="40"/>
    </row>
    <row r="76" spans="1:6" x14ac:dyDescent="0.25">
      <c r="A76" s="40"/>
      <c r="B76" s="38"/>
      <c r="C76" s="38"/>
      <c r="D76" s="38"/>
    </row>
    <row r="77" spans="1:6" x14ac:dyDescent="0.25">
      <c r="A77" s="38"/>
      <c r="B77" s="40"/>
      <c r="C77" s="40"/>
      <c r="D77" s="38"/>
    </row>
    <row r="78" spans="1:6" x14ac:dyDescent="0.25">
      <c r="A78" s="40"/>
      <c r="B78" s="40"/>
      <c r="C78" s="40"/>
      <c r="D78" s="40"/>
    </row>
    <row r="79" spans="1:6" x14ac:dyDescent="0.25">
      <c r="A79" s="38"/>
      <c r="B79" s="40"/>
      <c r="C79" s="40"/>
      <c r="D79" s="38"/>
    </row>
    <row r="80" spans="1:6" x14ac:dyDescent="0.25">
      <c r="A80" s="40"/>
      <c r="B80" s="38"/>
      <c r="C80" s="38"/>
      <c r="D80" s="40"/>
    </row>
    <row r="81" spans="1:4" x14ac:dyDescent="0.25">
      <c r="A81" s="40"/>
      <c r="B81" s="40"/>
      <c r="C81" s="40"/>
      <c r="D81" s="38"/>
    </row>
    <row r="82" spans="1:4" x14ac:dyDescent="0.25">
      <c r="A82" s="40"/>
      <c r="B82" s="40"/>
      <c r="C82" s="40"/>
      <c r="D82" s="40"/>
    </row>
    <row r="83" spans="1:4" x14ac:dyDescent="0.25">
      <c r="A83" s="40"/>
      <c r="B83" s="38"/>
      <c r="C83" s="38"/>
      <c r="D83" s="40"/>
    </row>
    <row r="84" spans="1:4" x14ac:dyDescent="0.25">
      <c r="A84" s="38"/>
      <c r="B84" s="40"/>
      <c r="C84" s="40"/>
      <c r="D84" s="40"/>
    </row>
    <row r="85" spans="1:4" x14ac:dyDescent="0.25">
      <c r="A85" s="40"/>
      <c r="B85" s="38"/>
      <c r="C85" s="38"/>
      <c r="D85" s="40"/>
    </row>
    <row r="86" spans="1:4" x14ac:dyDescent="0.25">
      <c r="A86" s="40"/>
      <c r="B86" s="38"/>
      <c r="C86" s="38"/>
      <c r="D86" s="40"/>
    </row>
    <row r="87" spans="1:4" x14ac:dyDescent="0.25">
      <c r="A87" s="38"/>
      <c r="B87" s="38"/>
      <c r="C87" s="38"/>
      <c r="D87" s="40"/>
    </row>
    <row r="88" spans="1:4" x14ac:dyDescent="0.25">
      <c r="A88" s="38"/>
      <c r="B88" s="40"/>
      <c r="C88" s="40"/>
      <c r="D88" s="38"/>
    </row>
    <row r="89" spans="1:4" x14ac:dyDescent="0.25">
      <c r="A89" s="40"/>
      <c r="B89" s="38"/>
      <c r="C89" s="38"/>
      <c r="D89" s="38"/>
    </row>
    <row r="90" spans="1:4" x14ac:dyDescent="0.25">
      <c r="A90" s="38"/>
      <c r="B90" s="40"/>
      <c r="C90" s="40"/>
      <c r="D90" s="40"/>
    </row>
    <row r="91" spans="1:4" x14ac:dyDescent="0.25">
      <c r="A91" s="38"/>
      <c r="B91" s="40"/>
      <c r="C91" s="40"/>
      <c r="D91" s="38"/>
    </row>
    <row r="92" spans="1:4" x14ac:dyDescent="0.25">
      <c r="A92" s="38"/>
      <c r="B92" s="38"/>
      <c r="C92" s="38"/>
      <c r="D92" s="38"/>
    </row>
    <row r="93" spans="1:4" x14ac:dyDescent="0.25">
      <c r="A93" s="40"/>
      <c r="B93" s="38"/>
      <c r="C93" s="40"/>
      <c r="D93" s="38"/>
    </row>
    <row r="94" spans="1:4" x14ac:dyDescent="0.25">
      <c r="A94" s="40"/>
      <c r="B94" s="40"/>
      <c r="C94" s="38"/>
      <c r="D94" s="40"/>
    </row>
    <row r="95" spans="1:4" x14ac:dyDescent="0.25">
      <c r="A95" s="38"/>
      <c r="B95" s="38"/>
      <c r="C95" s="40"/>
      <c r="D95" s="40"/>
    </row>
    <row r="96" spans="1:4" x14ac:dyDescent="0.25">
      <c r="A96" s="40"/>
      <c r="B96" s="40"/>
      <c r="C96" s="38"/>
      <c r="D96" s="38"/>
    </row>
    <row r="97" spans="1:4" x14ac:dyDescent="0.25">
      <c r="A97" s="39"/>
      <c r="B97" s="39"/>
      <c r="C97" s="38"/>
      <c r="D97" s="40"/>
    </row>
    <row r="98" spans="1:4" x14ac:dyDescent="0.25">
      <c r="A98" s="40"/>
      <c r="B98" s="42"/>
      <c r="C98" s="39"/>
      <c r="D98" s="39"/>
    </row>
    <row r="99" spans="1:4" x14ac:dyDescent="0.25">
      <c r="C99" s="36"/>
      <c r="D99" s="40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EMPENHOS</vt:lpstr>
      <vt:lpstr>Planilha2</vt:lpstr>
      <vt:lpstr>EMPENHOS!Titulos_de_impressao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dssilva</dc:creator>
  <cp:lastModifiedBy>Arlênio Efrem de Lima Júnior</cp:lastModifiedBy>
  <cp:lastPrinted>2025-01-27T13:26:31Z</cp:lastPrinted>
  <dcterms:created xsi:type="dcterms:W3CDTF">2019-05-17T13:52:47Z</dcterms:created>
  <dcterms:modified xsi:type="dcterms:W3CDTF">2025-11-19T13:35:01Z</dcterms:modified>
</cp:coreProperties>
</file>